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1-RESUME ARBITRAGE" sheetId="1" state="visible" r:id="rId2"/>
    <sheet name="2-IMPACT ARBITRAGE détaillé" sheetId="2" state="visible" r:id="rId3"/>
    <sheet name="3-IMPACT ARBITRAGE simplifié" sheetId="3" state="visible" r:id="rId4"/>
    <sheet name="4-TARIFS ARBITRAGE" sheetId="4" state="hidden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<sst xmlns="http://schemas.openxmlformats.org/spreadsheetml/2006/main" count="304" uniqueCount="100">
  <si>
    <t xml:space="preserve">© 2017 dreg                              cellules modifiables</t>
  </si>
  <si>
    <t xml:space="preserve">Choisir son lieu d'exercice en cliquant ci-dessous puis sur la flèche en bout de cellule :</t>
  </si>
  <si>
    <t xml:space="preserve">TARIFS DE PROTHESES PLAFONNES EN PROVINCE</t>
  </si>
  <si>
    <t xml:space="preserve">ACTES :</t>
  </si>
  <si>
    <t xml:space="preserve">écart avec le tarif CMU-ACS en 2021 si objectif non repecté</t>
  </si>
  <si>
    <t xml:space="preserve">CMU-ACS</t>
  </si>
  <si>
    <t xml:space="preserve">objectif N-1 respecté</t>
  </si>
  <si>
    <t xml:space="preserve">objectif N-1 non respecté</t>
  </si>
  <si>
    <t xml:space="preserve">HBLD007 - TFM Tenon Faux Moignon sans clavette</t>
  </si>
  <si>
    <t xml:space="preserve">HBLD261 - TFM Tenon Faux Moignon avec clavette</t>
  </si>
  <si>
    <t xml:space="preserve">HBLD037 - Couronne Provisoire</t>
  </si>
  <si>
    <t xml:space="preserve">HBLD038 - CM Couronne Métallique</t>
  </si>
  <si>
    <t xml:space="preserve">HBLD036 - CCM Couronne Céramo-Métallique</t>
  </si>
  <si>
    <t xml:space="preserve">CCAM ? - CCC Couronne Céramo-Céramique</t>
  </si>
  <si>
    <t xml:space="preserve">HBMD055 - Inlay-Onlay 3 faces</t>
  </si>
  <si>
    <t xml:space="preserve">HBLD023 - Bridge 3 CCM</t>
  </si>
  <si>
    <t xml:space="preserve">tarif de l'élément</t>
  </si>
  <si>
    <t xml:space="preserve">HBLD043 - Bridge 2 CCM + 1 CM</t>
  </si>
  <si>
    <t xml:space="preserve">HBLD040 - Bridge 1 CCM + 2 CM</t>
  </si>
  <si>
    <t xml:space="preserve">HBLD033 - Bridge 3 CM</t>
  </si>
  <si>
    <t xml:space="preserve">HBMD087 - Pilier de bridge Céramo-Métallique supplémentaire</t>
  </si>
  <si>
    <t xml:space="preserve">HBMD081 - Pilier de bridge Métallique supplémentaire</t>
  </si>
  <si>
    <t xml:space="preserve">HBMD479 / HBMD433 / HBMD072 - Inter de bridge Céramo-Métallique supplémentaire</t>
  </si>
  <si>
    <t xml:space="preserve">HBMD490 / HBMD342 / HBMD082 - Inter de bridge Métallique supplémentaire</t>
  </si>
  <si>
    <t xml:space="preserve">HBLD101 - Prothèse amovible résine 9 dents</t>
  </si>
  <si>
    <t xml:space="preserve">HBLD138 - Prothèse amovible résine 10 dents</t>
  </si>
  <si>
    <t xml:space="preserve">HBLD083 - Prothèse amovible résine 11 dents</t>
  </si>
  <si>
    <t xml:space="preserve">HBLD370 - Prothèse amovible résine 12 dents</t>
  </si>
  <si>
    <t xml:space="preserve">HBLD349 - Prothèse amovible résine 13 dents</t>
  </si>
  <si>
    <t xml:space="preserve">HBLD031 - Prothèse amovible résine 14 dents</t>
  </si>
  <si>
    <t xml:space="preserve">TARIFS DE SOINS REVALORISES</t>
  </si>
  <si>
    <t xml:space="preserve">HBBD006 - Sealants 2 dents</t>
  </si>
  <si>
    <t xml:space="preserve">variable si N-1 respecté ou non</t>
  </si>
  <si>
    <t xml:space="preserve">HBBD004 - Sealants 4 dents</t>
  </si>
  <si>
    <t xml:space="preserve">TARIFS</t>
  </si>
  <si>
    <t xml:space="preserve">HBBD404 - Sealants 6 dents</t>
  </si>
  <si>
    <t xml:space="preserve">HBBD427 - Sealants 8 dents</t>
  </si>
  <si>
    <t xml:space="preserve">DE</t>
  </si>
  <si>
    <t xml:space="preserve">HBMD058 / HBMD053 - Restauration 1 face</t>
  </si>
  <si>
    <t xml:space="preserve">HBMD050 / HBMD049 - Restauration 2 faces</t>
  </si>
  <si>
    <t xml:space="preserve">L'ANNEE</t>
  </si>
  <si>
    <t xml:space="preserve">HBMD054 / HBMD038 - Restauration 3 faces</t>
  </si>
  <si>
    <t xml:space="preserve">HBMD044 - Restauration 1 angle</t>
  </si>
  <si>
    <t xml:space="preserve">EN</t>
  </si>
  <si>
    <t xml:space="preserve">HBMD047 - Restauration 2 angles</t>
  </si>
  <si>
    <t xml:space="preserve">HBMD042 - Restauration avec ancrage radiculaire</t>
  </si>
  <si>
    <t xml:space="preserve">COURS</t>
  </si>
  <si>
    <t xml:space="preserve">HBGD035 - Avulsion 1 dent temporaire</t>
  </si>
  <si>
    <t xml:space="preserve">HBGD037 - Avulsion 2 dents temporaires</t>
  </si>
  <si>
    <t xml:space="preserve">© 2017 dreg               cellules modifiables (cliquer pour faire apparaître les flèches de choix si nécessaire)</t>
  </si>
  <si>
    <t xml:space="preserve">IMPACT ANNUEL de l'ARBITRAGE par rapport au Chiffre d'Affaire de 2017</t>
  </si>
  <si>
    <t xml:space="preserve">1- Choisir le lieu d'exercice en C2, choisir si vous appliquez vos tarifs personnels (s'ils sont &lt; aux tarifs plafonnés) ou les tarifs plafonnés en C3                                                2- Compléter les tarifs personnels de C7 à C13 et de C22 à C27, le nombre d'actes respectifs réalisés de B7 à B27 et de B31 à B42                                                                       3- Compléter le Chiffre d'Affaire prothétique annuel CMU-C/ACS en B30                                                                                                                                                                                       4- Indiquer si les clauses de réalisation des objectifs de dépenses fixées par l'UNCAM sont respectées ou non, chaque année, de F3 à J4 : IL Y A BEAUCOUP PLUS DE CHANCES QU'ELLES NE SOIENT PAS RESPECTEES !                                                                                                                                                                                                                        5- Voir l'impact de l'arbitrage sur le CA et le BNC au niveau de la cellule A5 pour le résumé et des lignes 28-30-43-45-46 pour les détails
</t>
  </si>
  <si>
    <t xml:space="preserve">Province</t>
  </si>
  <si>
    <t xml:space="preserve">PLAFONDS REVALORISATIONS</t>
  </si>
  <si>
    <t xml:space="preserve">Clause sur les HONORAIRES A ENTENTE DIRECTE année N-1 : agit sur les plafonds des prothèses D7 à G22</t>
  </si>
  <si>
    <t xml:space="preserve">TARIFS ==&gt;</t>
  </si>
  <si>
    <t xml:space="preserve">Tarifs personnels</t>
  </si>
  <si>
    <t xml:space="preserve">CLAUSE HED     ==&gt;</t>
  </si>
  <si>
    <t xml:space="preserve">N-1 non respectée</t>
  </si>
  <si>
    <t xml:space="preserve">N-1 respectée</t>
  </si>
  <si>
    <t xml:space="preserve">Clause sur les HONORAIRES REMBOURSES TOTAUX année N-1 : agit sur les revalorisations des soins D26 à G37</t>
  </si>
  <si>
    <t xml:space="preserve">CLAUSE HRTOT ==&gt;</t>
  </si>
  <si>
    <t xml:space="preserve">Région parisienne 75-78-91-92 / DOM</t>
  </si>
  <si>
    <t xml:space="preserve">Tarifs plafonnés</t>
  </si>
  <si>
    <t xml:space="preserve">Données 2016 transposées à 2017</t>
  </si>
  <si>
    <t xml:space="preserve">IMPACT DE 2018 à 2021</t>
  </si>
  <si>
    <t xml:space="preserve">REALISES en 2016</t>
  </si>
  <si>
    <t xml:space="preserve">TARIFS 2017</t>
  </si>
  <si>
    <t xml:space="preserve">P</t>
  </si>
  <si>
    <t xml:space="preserve">R</t>
  </si>
  <si>
    <t xml:space="preserve">O</t>
  </si>
  <si>
    <t xml:space="preserve">T</t>
  </si>
  <si>
    <t xml:space="preserve">H</t>
  </si>
  <si>
    <t xml:space="preserve">E</t>
  </si>
  <si>
    <t xml:space="preserve">S</t>
  </si>
  <si>
    <t xml:space="preserve">TOTAL SUR 4 ANS</t>
  </si>
  <si>
    <t xml:space="preserve">IMPACT de la DIMINUTION des honoraires à ED sur le CA de l'année en cours par rapport au CA 2017 =&gt;</t>
  </si>
  <si>
    <t xml:space="preserve">Actes de prothèses CMU-C / ACS</t>
  </si>
  <si>
    <t xml:space="preserve">CA annuel CMU/ACS</t>
  </si>
  <si>
    <t xml:space="preserve">%age d'augmentation</t>
  </si>
  <si>
    <t xml:space="preserve">IMPACT de l'AUGMENTATION des honoraires à ED des actes CMU-C/ACS sur le CA en cours par rapport à 2017 =&gt;</t>
  </si>
  <si>
    <t xml:space="preserve">I</t>
  </si>
  <si>
    <t xml:space="preserve">N</t>
  </si>
  <si>
    <t xml:space="preserve">IMPACT de l'AUGMENTATION des honoraires de SOINS sur le CA de l'année en cours par rapport au CA de 2017 =&gt;</t>
  </si>
  <si>
    <t xml:space="preserve">soit, par an :</t>
  </si>
  <si>
    <t xml:space="preserve">TOTAL de l'IMPACT de l'ARBITRAGE sur le CA 2018 à 2021 par rapport au CA de 2017 :</t>
  </si>
  <si>
    <t xml:space="preserve">TOTAL de l'IMPACT de l'ARBITRAGE sur le BNC 2018 à 2021 par rapport au BNC de 2017 :</t>
  </si>
  <si>
    <t xml:space="preserve">Impact moyen :</t>
  </si>
  <si>
    <t xml:space="preserve">de CA/an</t>
  </si>
  <si>
    <t xml:space="preserve">© 2017 dreg                                                cellules modifiables</t>
  </si>
  <si>
    <t xml:space="preserve">IMPACT ARBITRAGE par rapport au Chiffre d'Affaire 2017</t>
  </si>
  <si>
    <t xml:space="preserve">1- Choisir le lieu d'exercice en C2, choisir si vous appliquez vos tarifs personnels (s'ils sont &lt; aux tarifs plafonnés) ou les tarifs plafonnés en C5                                                2- le nombre d'actes réalisés et les tarifs sont repris de l'onglet N°2                                                                                                                                                                                                3- Indiquer si les clauses de réalisation des objectifs de dépenses fixées par l'UNCAM sont respectées ou non sur les 3 ans en C3/C4 : IL Y A BEAUCOUP PLUS DE CHANCES QU'ELLES NE SOIENT PAS RESPECTEES !                                                                                                                                                                                                                        4- Voir l'impact de l'arbitrage sur le CA et le BNC au niveau de la cellule A5 pour le résumé et des lignes 28-30-43-45-46 pour les détails
</t>
  </si>
  <si>
    <t xml:space="preserve">==&gt;</t>
  </si>
  <si>
    <t xml:space="preserve">© 2017 dreg</t>
  </si>
  <si>
    <t xml:space="preserve">TARIFS DE PROTHESES PLAFONNES EN REGION PARISIENNE 75-78-91-92 ET DOM</t>
  </si>
  <si>
    <t xml:space="preserve">tarifs</t>
  </si>
  <si>
    <t xml:space="preserve">de</t>
  </si>
  <si>
    <t xml:space="preserve">l'année</t>
  </si>
  <si>
    <t xml:space="preserve">en</t>
  </si>
  <si>
    <t xml:space="preserve">cours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</si>
</sst>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\ [$€-1]"/>
    <numFmt numFmtId="166" formatCode="0.00\ %"/>
    <numFmt numFmtId="167" formatCode="#,##0.00\ [$€-1]"/>
    <numFmt numFmtId="168" formatCode="#,##0"/>
    <numFmt numFmtId="169" formatCode="#,##0.00"/>
    <numFmt numFmtId="170" formatCode="0\ %"/>
  </numFmts>
  <fonts count="4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  <charset val="1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10"/>
      <color rgb="FF333333"/>
      <name val="Arial"/>
      <family val="0"/>
      <charset val="1"/>
    </font>
    <font>
      <i val="true"/>
      <sz val="10"/>
      <color rgb="FF808080"/>
      <name val="Arial"/>
      <family val="0"/>
      <charset val="1"/>
    </font>
    <font>
      <sz val="10"/>
      <color rgb="FF006600"/>
      <name val="Arial"/>
      <family val="0"/>
      <charset val="1"/>
    </font>
    <font>
      <sz val="10"/>
      <color rgb="FF996600"/>
      <name val="Arial"/>
      <family val="0"/>
      <charset val="1"/>
    </font>
    <font>
      <sz val="10"/>
      <color rgb="FFCC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FFFFFF"/>
      <name val="Arial"/>
      <family val="0"/>
      <charset val="1"/>
    </font>
    <font>
      <b val="true"/>
      <sz val="11"/>
      <name val="Arial"/>
      <family val="0"/>
      <charset val="1"/>
    </font>
    <font>
      <sz val="11"/>
      <color rgb="FF00FFFF"/>
      <name val="Cambria"/>
      <family val="0"/>
      <charset val="1"/>
    </font>
    <font>
      <sz val="11"/>
      <name val="Arial"/>
      <family val="0"/>
      <charset val="1"/>
    </font>
    <font>
      <b val="true"/>
      <sz val="8"/>
      <name val="Arial"/>
      <family val="0"/>
      <charset val="1"/>
    </font>
    <font>
      <b val="true"/>
      <u val="single"/>
      <sz val="11"/>
      <color rgb="FF0000FF"/>
      <name val="Arial"/>
      <family val="0"/>
      <charset val="1"/>
    </font>
    <font>
      <b val="true"/>
      <sz val="11"/>
      <color rgb="FFFF0000"/>
      <name val="Arial"/>
      <family val="0"/>
      <charset val="1"/>
    </font>
    <font>
      <sz val="11"/>
      <color rgb="FFFF0000"/>
      <name val="Arial"/>
      <family val="0"/>
      <charset val="1"/>
    </font>
    <font>
      <i val="true"/>
      <sz val="11"/>
      <name val="Arial"/>
      <family val="0"/>
      <charset val="1"/>
    </font>
    <font>
      <b val="true"/>
      <sz val="9"/>
      <color rgb="FF00FFFF"/>
      <name val="Arial"/>
      <family val="0"/>
      <charset val="1"/>
    </font>
    <font>
      <b val="true"/>
      <sz val="11"/>
      <color rgb="FF0000FF"/>
      <name val="Arial"/>
      <family val="0"/>
      <charset val="1"/>
    </font>
    <font>
      <sz val="11"/>
      <name val="Cambria"/>
      <family val="0"/>
      <charset val="1"/>
    </font>
    <font>
      <sz val="11"/>
      <color rgb="FFFFFFFF"/>
      <name val="Arial"/>
      <family val="0"/>
      <charset val="1"/>
    </font>
    <font>
      <sz val="11"/>
      <color rgb="FFFFFFFF"/>
      <name val="Cambria"/>
      <family val="0"/>
      <charset val="1"/>
    </font>
    <font>
      <sz val="14"/>
      <name val="Cambria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1"/>
      <color rgb="FF38761D"/>
      <name val="Arial"/>
      <family val="0"/>
      <charset val="1"/>
    </font>
    <font>
      <b val="true"/>
      <sz val="11"/>
      <color rgb="FF0000FF"/>
      <name val="Cambria"/>
      <family val="0"/>
      <charset val="1"/>
    </font>
    <font>
      <b val="true"/>
      <sz val="10"/>
      <name val="Cambria"/>
      <family val="0"/>
      <charset val="1"/>
    </font>
    <font>
      <b val="true"/>
      <sz val="28"/>
      <name val="Cambria"/>
      <family val="0"/>
      <charset val="1"/>
    </font>
    <font>
      <b val="true"/>
      <sz val="36"/>
      <name val="Cambria"/>
      <family val="0"/>
      <charset val="1"/>
    </font>
    <font>
      <sz val="11"/>
      <color rgb="FFFF0000"/>
      <name val="Cambria"/>
      <family val="0"/>
      <charset val="1"/>
    </font>
    <font>
      <b val="true"/>
      <sz val="10"/>
      <color rgb="FFB6D7A8"/>
      <name val="Cambria"/>
      <family val="0"/>
      <charset val="1"/>
    </font>
    <font>
      <b val="true"/>
      <sz val="10"/>
      <color rgb="FFFFFF00"/>
      <name val="Cambria"/>
      <family val="0"/>
      <charset val="1"/>
    </font>
    <font>
      <sz val="20"/>
      <name val="Cambria"/>
      <family val="0"/>
      <charset val="1"/>
    </font>
    <font>
      <b val="true"/>
      <sz val="24"/>
      <name val="Cambria"/>
      <family val="0"/>
      <charset val="1"/>
    </font>
    <font>
      <i val="true"/>
      <sz val="11"/>
      <color rgb="FFFF0000"/>
      <name val="Arial"/>
      <family val="0"/>
      <charset val="1"/>
    </font>
  </fonts>
  <fills count="2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D9EAD3"/>
      </patternFill>
    </fill>
    <fill>
      <patternFill patternType="solid">
        <fgColor rgb="FFFFCCCC"/>
        <bgColor rgb="FFFCE5C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0E0E3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CC0000"/>
      </patternFill>
    </fill>
    <fill>
      <patternFill patternType="solid">
        <fgColor rgb="FFFFFFFF"/>
        <bgColor rgb="FFFFFFCC"/>
      </patternFill>
    </fill>
    <fill>
      <patternFill patternType="solid">
        <fgColor rgb="FF76A5AF"/>
        <bgColor rgb="FF808080"/>
      </patternFill>
    </fill>
    <fill>
      <patternFill patternType="solid">
        <fgColor rgb="FFD0E0E3"/>
        <bgColor rgb="FFDDDDDD"/>
      </patternFill>
    </fill>
    <fill>
      <patternFill patternType="solid">
        <fgColor rgb="FFA2C4C9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DDDDDD"/>
      </patternFill>
    </fill>
    <fill>
      <patternFill patternType="solid">
        <fgColor rgb="FFEA9999"/>
        <bgColor rgb="FFFF8080"/>
      </patternFill>
    </fill>
    <fill>
      <patternFill patternType="solid">
        <fgColor rgb="FFB6D7A8"/>
        <bgColor rgb="FFA2C4C9"/>
      </patternFill>
    </fill>
    <fill>
      <patternFill patternType="solid">
        <fgColor rgb="FFD9EAD3"/>
        <bgColor rgb="FFD0E0E3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1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1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9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1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9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1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1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1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4" fillId="1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5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1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5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1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5" fillId="1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1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1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5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17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7" fillId="17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7" fillId="17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0" fillId="1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1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1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1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7" fillId="1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18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30" fillId="1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1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1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1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4" fillId="1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0" fillId="1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19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15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18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1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5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3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12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12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4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13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4" fillId="1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1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7" fillId="13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9" fillId="1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4" fillId="1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5" fillId="1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1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3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5" fillId="1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1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7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0" fillId="18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1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17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1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5" fillId="1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1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6" fillId="1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1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19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4" fillId="1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5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18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3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5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3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1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15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37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1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11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dxfs count="5">
    <dxf>
      <font>
        <b val="1"/>
        <color rgb="FFFF0000"/>
      </font>
      <fill>
        <patternFill>
          <bgColor rgb="FFEA9999"/>
        </patternFill>
      </fill>
      <border diagonalUp="false" diagonalDown="false">
        <left/>
        <right/>
        <top/>
        <bottom/>
        <diagonal/>
      </border>
    </dxf>
    <dxf>
      <font>
        <b val="1"/>
        <color rgb="FF38761D"/>
      </font>
      <fill>
        <patternFill>
          <bgColor rgb="FFB6D7A8"/>
        </patternFill>
      </fill>
      <border diagonalUp="false" diagonalDown="false">
        <left/>
        <right/>
        <top/>
        <bottom/>
        <diagonal/>
      </border>
    </dxf>
    <dxf>
      <font>
        <color rgb="FFFF0000"/>
      </font>
      <fill>
        <patternFill>
          <bgColor rgb="FFEA9999"/>
        </patternFill>
      </fill>
      <border diagonalUp="false" diagonalDown="false">
        <left/>
        <right/>
        <top/>
        <bottom/>
        <diagonal/>
      </border>
    </dxf>
    <dxf>
      <font>
        <color rgb="FF38761D"/>
      </font>
      <fill>
        <patternFill>
          <bgColor rgb="FFB6D7A8"/>
        </patternFill>
      </fill>
      <border diagonalUp="false" diagonalDown="false">
        <left/>
        <right/>
        <top/>
        <bottom/>
        <diagonal/>
      </border>
    </dxf>
    <dxf>
      <font>
        <b val="1"/>
      </font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A2C4C9"/>
      <rgbColor rgb="FF808080"/>
      <rgbColor rgb="FF9999FF"/>
      <rgbColor rgb="FF993366"/>
      <rgbColor rgb="FFFFFFCC"/>
      <rgbColor rgb="FFD9EAD3"/>
      <rgbColor rgb="FF660066"/>
      <rgbColor rgb="FFFF8080"/>
      <rgbColor rgb="FF0066CC"/>
      <rgbColor rgb="FFD0E0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CE5CD"/>
      <rgbColor rgb="FFB6D7A8"/>
      <rgbColor rgb="FFEA9999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6A5AF"/>
      <rgbColor rgb="FF003366"/>
      <rgbColor rgb="FF38761D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385560</xdr:colOff>
      <xdr:row>0</xdr:row>
      <xdr:rowOff>123480</xdr:rowOff>
    </xdr:from>
    <xdr:to>
      <xdr:col>11</xdr:col>
      <xdr:colOff>1004040</xdr:colOff>
      <xdr:row>3</xdr:row>
      <xdr:rowOff>92160</xdr:rowOff>
    </xdr:to>
    <xdr:sp>
      <xdr:nvSpPr>
        <xdr:cNvPr id="0" name="CustomShape 1"/>
        <xdr:cNvSpPr/>
      </xdr:nvSpPr>
      <xdr:spPr>
        <a:xfrm>
          <a:off x="17228160" y="123480"/>
          <a:ext cx="618480" cy="1137600"/>
        </a:xfrm>
        <a:prstGeom prst="downArrow">
          <a:avLst>
            <a:gd name="adj1" fmla="val 50000"/>
            <a:gd name="adj2" fmla="val 50000"/>
          </a:avLst>
        </a:prstGeom>
        <a:solidFill>
          <a:srgbClr val="00ffff"/>
        </a:solidFill>
        <a:ln w="1908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324000</xdr:colOff>
      <xdr:row>0</xdr:row>
      <xdr:rowOff>66600</xdr:rowOff>
    </xdr:from>
    <xdr:to>
      <xdr:col>7</xdr:col>
      <xdr:colOff>818640</xdr:colOff>
      <xdr:row>3</xdr:row>
      <xdr:rowOff>66600</xdr:rowOff>
    </xdr:to>
    <xdr:sp>
      <xdr:nvSpPr>
        <xdr:cNvPr id="1" name="CustomShape 1"/>
        <xdr:cNvSpPr/>
      </xdr:nvSpPr>
      <xdr:spPr>
        <a:xfrm>
          <a:off x="12842280" y="66600"/>
          <a:ext cx="494640" cy="1054440"/>
        </a:xfrm>
        <a:prstGeom prst="downArrow">
          <a:avLst>
            <a:gd name="adj1" fmla="val 50000"/>
            <a:gd name="adj2" fmla="val 50000"/>
          </a:avLst>
        </a:prstGeom>
        <a:solidFill>
          <a:srgbClr val="00ffff"/>
        </a:solidFill>
        <a:ln w="1908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tables/table1.xml><?xml version="1.0" encoding="utf-8"?>
<table xmlns="http://schemas.openxmlformats.org/spreadsheetml/2006/main" id="1" name="Table_1" displayName="Table_1" ref="A33:K46" headerRowCount="1" totalsRowCount="0" totalsRowShown="0">
  <tableColumns count="11">
    <tableColumn id="1" name="ACTES :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écart avec le tarif CMU-ACS en 2021 si objectif non repecté"/>
    <tableColumn id="11" name="CMU-ACS"/>
  </tableColumns>
</table>
</file>

<file path=xl/tables/table2.xml><?xml version="1.0" encoding="utf-8"?>
<table xmlns="http://schemas.openxmlformats.org/spreadsheetml/2006/main" id="2" name="Table_2" displayName="Table_2" ref="A3:K29" headerRowCount="1" totalsRowCount="0" totalsRowShown="0">
  <tableColumns count="11">
    <tableColumn id="1" name="ACTES :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écart avec le tarif CMU-ACS en 2021 si objectif non repecté"/>
    <tableColumn id="11" name="CMU-ACS"/>
  </tableColumns>
</table>
</file>

<file path=xl/tables/table3.xml><?xml version="1.0" encoding="utf-8"?>
<table xmlns="http://schemas.openxmlformats.org/spreadsheetml/2006/main" id="3" name="Table_3" displayName="Table_3" ref="A32:K58" headerRowCount="1" totalsRowCount="0" totalsRowShown="0">
  <tableColumns count="11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écart avec le tarif CMU-ACS en 2021 si objectif non repecté"/>
    <tableColumn id="11" name="CMU-ACS"/>
  </tableColumns>
</table>
</file>

<file path=xl/tables/table4.xml><?xml version="1.0" encoding="utf-8"?>
<table xmlns="http://schemas.openxmlformats.org/spreadsheetml/2006/main" id="4" name="Table_4" displayName="Table_4" ref="A62:K75" headerRowCount="1" totalsRowCount="0" totalsRowShown="0">
  <tableColumns count="11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écart avec le tarif CMU-ACS en 2021 si objectif non repecté"/>
    <tableColumn id="11" name="CMU-ACS"/>
  </tableColumns>
</table>
</file>

<file path=xl/tables/table5.xml><?xml version="1.0" encoding="utf-8"?>
<table xmlns="http://schemas.openxmlformats.org/spreadsheetml/2006/main" id="5" name="Table_5" displayName="Table_5" ref="A2:K28" headerRowCount="1" totalsRowCount="0" totalsRowShown="0">
  <tableColumns count="11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écart avec le tarif CMU-ACS en 2021 si objectif non repecté"/>
    <tableColumn id="11" name="CMU-ACS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3.xml"/><Relationship Id="rId2" Type="http://schemas.openxmlformats.org/officeDocument/2006/relationships/table" Target="../tables/table4.xml"/><Relationship Id="rId3" Type="http://schemas.openxmlformats.org/officeDocument/2006/relationships/table" Target="../tables/table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6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pane xSplit="0" ySplit="4" topLeftCell="A5" activePane="bottomLeft" state="frozen"/>
      <selection pane="topLeft" activeCell="D1" activeCellId="0" sqref="D1"/>
      <selection pane="bottomLeft" activeCell="C1" activeCellId="0" sqref="C1"/>
    </sheetView>
  </sheetViews>
  <sheetFormatPr defaultRowHeight="15.75" zeroHeight="false" outlineLevelRow="0" outlineLevelCol="0"/>
  <cols>
    <col collapsed="false" customWidth="true" hidden="false" outlineLevel="0" max="1" min="1" style="0" width="51.55"/>
    <col collapsed="false" customWidth="true" hidden="false" outlineLevel="0" max="2" min="2" style="0" width="8.29"/>
    <col collapsed="false" customWidth="true" hidden="false" outlineLevel="0" max="3" min="3" style="0" width="16"/>
    <col collapsed="false" customWidth="true" hidden="false" outlineLevel="0" max="4" min="4" style="0" width="21.58"/>
    <col collapsed="false" customWidth="true" hidden="false" outlineLevel="0" max="5" min="5" style="0" width="25.87"/>
    <col collapsed="false" customWidth="true" hidden="false" outlineLevel="0" max="6" min="6" style="0" width="21.58"/>
    <col collapsed="false" customWidth="true" hidden="false" outlineLevel="0" max="7" min="7" style="0" width="26.59"/>
    <col collapsed="false" customWidth="true" hidden="false" outlineLevel="0" max="8" min="8" style="0" width="21.58"/>
    <col collapsed="false" customWidth="true" hidden="false" outlineLevel="0" max="9" min="9" style="0" width="26.59"/>
    <col collapsed="false" customWidth="true" hidden="false" outlineLevel="0" max="10" min="10" style="0" width="16.71"/>
    <col collapsed="false" customWidth="true" hidden="false" outlineLevel="0" max="11" min="11" style="0" width="9.86"/>
    <col collapsed="false" customWidth="true" hidden="false" outlineLevel="0" max="1025" min="12" style="0" width="14.43"/>
  </cols>
  <sheetData>
    <row r="1" customFormat="false" ht="15.75" hidden="false" customHeight="false" outlineLevel="0" collapsed="false">
      <c r="A1" s="1" t="s">
        <v>0</v>
      </c>
      <c r="C1" s="2" t="s">
        <v>1</v>
      </c>
      <c r="D1" s="2"/>
      <c r="E1" s="2"/>
      <c r="F1" s="2"/>
      <c r="G1" s="2"/>
      <c r="H1" s="2"/>
      <c r="I1" s="2"/>
    </row>
    <row r="2" customFormat="false" ht="15.75" hidden="false" customHeight="false" outlineLevel="0" collapsed="false">
      <c r="A2" s="1"/>
      <c r="B2" s="3"/>
      <c r="C2" s="4" t="s">
        <v>2</v>
      </c>
      <c r="D2" s="4"/>
      <c r="E2" s="4"/>
      <c r="F2" s="4"/>
      <c r="G2" s="4"/>
      <c r="H2" s="4"/>
      <c r="I2" s="4"/>
      <c r="J2" s="5"/>
      <c r="K2" s="6"/>
    </row>
    <row r="3" customFormat="false" ht="15.75" hidden="false" customHeight="true" outlineLevel="0" collapsed="false">
      <c r="A3" s="7" t="s">
        <v>3</v>
      </c>
      <c r="B3" s="8" t="n">
        <v>2017</v>
      </c>
      <c r="C3" s="8" t="n">
        <v>2018</v>
      </c>
      <c r="D3" s="8" t="n">
        <v>2019</v>
      </c>
      <c r="E3" s="8"/>
      <c r="F3" s="8" t="n">
        <v>2020</v>
      </c>
      <c r="G3" s="8"/>
      <c r="H3" s="8" t="n">
        <v>2021</v>
      </c>
      <c r="I3" s="8"/>
      <c r="J3" s="9" t="s">
        <v>4</v>
      </c>
      <c r="K3" s="10" t="s">
        <v>5</v>
      </c>
    </row>
    <row r="4" customFormat="false" ht="15.75" hidden="false" customHeight="false" outlineLevel="0" collapsed="false">
      <c r="A4" s="11" t="str">
        <f aca="false">HYPERLINK("http://social-sante.gouv.fr/IMG/pdf/reglement_arbitral.pdf","Consulter le REGLEMENT ARBITRAL en ligne")</f>
        <v>Consulter le REGLEMENT ARBITRAL en ligne</v>
      </c>
      <c r="B4" s="3"/>
      <c r="C4" s="3"/>
      <c r="D4" s="8" t="s">
        <v>6</v>
      </c>
      <c r="E4" s="8" t="s">
        <v>7</v>
      </c>
      <c r="F4" s="8" t="s">
        <v>6</v>
      </c>
      <c r="G4" s="8" t="s">
        <v>7</v>
      </c>
      <c r="H4" s="8" t="s">
        <v>6</v>
      </c>
      <c r="I4" s="8" t="s">
        <v>7</v>
      </c>
      <c r="J4" s="9"/>
      <c r="K4" s="3"/>
    </row>
    <row r="5" customFormat="false" ht="15.75" hidden="false" customHeight="false" outlineLevel="0" collapsed="false">
      <c r="A5" s="12" t="s">
        <v>8</v>
      </c>
      <c r="B5" s="13"/>
      <c r="C5" s="14" t="n">
        <f aca="false">IF($C$2="TARIFS DE PROTHESES PLAFONNES EN PROVINCE",'4-TARIFS ARBITRAGE'!C4,'4-TARIFS ARBITRAGE'!C34)</f>
        <v>250</v>
      </c>
      <c r="D5" s="14" t="n">
        <f aca="false">IF($C$2="TARIFS DE PROTHESES PLAFONNES EN PROVINCE",'4-TARIFS ARBITRAGE'!D4,'4-TARIFS ARBITRAGE'!D34)</f>
        <v>210</v>
      </c>
      <c r="E5" s="14" t="n">
        <f aca="false">IF($C$2="TARIFS DE PROTHESES PLAFONNES EN PROVINCE",'4-TARIFS ARBITRAGE'!E4,'4-TARIFS ARBITRAGE'!E34)</f>
        <v>202</v>
      </c>
      <c r="F5" s="14" t="n">
        <f aca="false">IF($C$2="TARIFS DE PROTHESES PLAFONNES EN PROVINCE",'4-TARIFS ARBITRAGE'!F4,'4-TARIFS ARBITRAGE'!F34)</f>
        <v>190</v>
      </c>
      <c r="G5" s="14" t="n">
        <f aca="false">IF($C$2="TARIFS DE PROTHESES PLAFONNES EN PROVINCE",'4-TARIFS ARBITRAGE'!G4,'4-TARIFS ARBITRAGE'!G34)</f>
        <v>182</v>
      </c>
      <c r="H5" s="14" t="n">
        <f aca="false">IF($C$2="TARIFS DE PROTHESES PLAFONNES EN PROVINCE",'4-TARIFS ARBITRAGE'!H4,'4-TARIFS ARBITRAGE'!H34)</f>
        <v>190</v>
      </c>
      <c r="I5" s="14" t="n">
        <f aca="false">IF($C$2="TARIFS DE PROTHESES PLAFONNES EN PROVINCE",'4-TARIFS ARBITRAGE'!I4,'4-TARIFS ARBITRAGE'!I34)</f>
        <v>182</v>
      </c>
      <c r="J5" s="15" t="n">
        <f aca="false">-(1-K5/I5)</f>
        <v>-0.286813186813187</v>
      </c>
      <c r="K5" s="16" t="n">
        <v>129.8</v>
      </c>
    </row>
    <row r="6" customFormat="false" ht="15.75" hidden="false" customHeight="false" outlineLevel="0" collapsed="false">
      <c r="A6" s="12" t="s">
        <v>9</v>
      </c>
      <c r="B6" s="13"/>
      <c r="C6" s="14" t="n">
        <f aca="false">IF($C$2="TARIFS DE PROTHESES PLAFONNES EN PROVINCE",'4-TARIFS ARBITRAGE'!C5,'4-TARIFS ARBITRAGE'!C35)</f>
        <v>280</v>
      </c>
      <c r="D6" s="14" t="n">
        <f aca="false">IF($C$2="TARIFS DE PROTHESES PLAFONNES EN PROVINCE",'4-TARIFS ARBITRAGE'!D5,'4-TARIFS ARBITRAGE'!D35)</f>
        <v>240</v>
      </c>
      <c r="E6" s="14" t="n">
        <f aca="false">IF($C$2="TARIFS DE PROTHESES PLAFONNES EN PROVINCE",'4-TARIFS ARBITRAGE'!E5,'4-TARIFS ARBITRAGE'!E35)</f>
        <v>230</v>
      </c>
      <c r="F6" s="14" t="n">
        <f aca="false">IF($C$2="TARIFS DE PROTHESES PLAFONNES EN PROVINCE",'4-TARIFS ARBITRAGE'!F5,'4-TARIFS ARBITRAGE'!F35)</f>
        <v>195</v>
      </c>
      <c r="G6" s="14" t="n">
        <f aca="false">IF($C$2="TARIFS DE PROTHESES PLAFONNES EN PROVINCE",'4-TARIFS ARBITRAGE'!G5,'4-TARIFS ARBITRAGE'!G35)</f>
        <v>187</v>
      </c>
      <c r="H6" s="14" t="n">
        <f aca="false">IF($C$2="TARIFS DE PROTHESES PLAFONNES EN PROVINCE",'4-TARIFS ARBITRAGE'!H5,'4-TARIFS ARBITRAGE'!H35)</f>
        <v>195</v>
      </c>
      <c r="I6" s="14" t="n">
        <f aca="false">IF($C$2="TARIFS DE PROTHESES PLAFONNES EN PROVINCE",'4-TARIFS ARBITRAGE'!I5,'4-TARIFS ARBITRAGE'!I35)</f>
        <v>187</v>
      </c>
      <c r="J6" s="15" t="n">
        <f aca="false">-(1-K6/I6)</f>
        <v>-0.179679144385027</v>
      </c>
      <c r="K6" s="16" t="n">
        <v>153.4</v>
      </c>
    </row>
    <row r="7" customFormat="false" ht="15.75" hidden="false" customHeight="false" outlineLevel="0" collapsed="false">
      <c r="A7" s="12" t="s">
        <v>10</v>
      </c>
      <c r="B7" s="13"/>
      <c r="C7" s="14" t="n">
        <f aca="false">IF($C$2="TARIFS DE PROTHESES PLAFONNES EN PROVINCE",'4-TARIFS ARBITRAGE'!C6,'4-TARIFS ARBITRAGE'!C36)</f>
        <v>60</v>
      </c>
      <c r="D7" s="14" t="n">
        <f aca="false">IF($C$2="TARIFS DE PROTHESES PLAFONNES EN PROVINCE",'4-TARIFS ARBITRAGE'!D6,'4-TARIFS ARBITRAGE'!D36)</f>
        <v>60</v>
      </c>
      <c r="E7" s="14" t="n">
        <f aca="false">IF($C$2="TARIFS DE PROTHESES PLAFONNES EN PROVINCE",'4-TARIFS ARBITRAGE'!E6,'4-TARIFS ARBITRAGE'!E36)</f>
        <v>58</v>
      </c>
      <c r="F7" s="14" t="n">
        <f aca="false">IF($C$2="TARIFS DE PROTHESES PLAFONNES EN PROVINCE",'4-TARIFS ARBITRAGE'!F6,'4-TARIFS ARBITRAGE'!F36)</f>
        <v>60</v>
      </c>
      <c r="G7" s="14" t="n">
        <f aca="false">IF($C$2="TARIFS DE PROTHESES PLAFONNES EN PROVINCE",'4-TARIFS ARBITRAGE'!G6,'4-TARIFS ARBITRAGE'!G36)</f>
        <v>58</v>
      </c>
      <c r="H7" s="14" t="n">
        <f aca="false">IF($C$2="TARIFS DE PROTHESES PLAFONNES EN PROVINCE",'4-TARIFS ARBITRAGE'!H6,'4-TARIFS ARBITRAGE'!H36)</f>
        <v>60</v>
      </c>
      <c r="I7" s="14" t="n">
        <f aca="false">IF($C$2="TARIFS DE PROTHESES PLAFONNES EN PROVINCE",'4-TARIFS ARBITRAGE'!I6,'4-TARIFS ARBITRAGE'!I36)</f>
        <v>58</v>
      </c>
      <c r="J7" s="15" t="n">
        <f aca="false">-(1-K7/I7)</f>
        <v>-0.568965517241379</v>
      </c>
      <c r="K7" s="14" t="n">
        <v>25</v>
      </c>
    </row>
    <row r="8" customFormat="false" ht="15.75" hidden="false" customHeight="false" outlineLevel="0" collapsed="false">
      <c r="A8" s="12" t="s">
        <v>11</v>
      </c>
      <c r="B8" s="13"/>
      <c r="C8" s="14" t="n">
        <f aca="false">IF($C$2="TARIFS DE PROTHESES PLAFONNES EN PROVINCE",'4-TARIFS ARBITRAGE'!C7,'4-TARIFS ARBITRAGE'!C37)</f>
        <v>350</v>
      </c>
      <c r="D8" s="14" t="n">
        <f aca="false">IF($C$2="TARIFS DE PROTHESES PLAFONNES EN PROVINCE",'4-TARIFS ARBITRAGE'!D7,'4-TARIFS ARBITRAGE'!D37)</f>
        <v>320</v>
      </c>
      <c r="E8" s="14" t="n">
        <f aca="false">IF($C$2="TARIFS DE PROTHESES PLAFONNES EN PROVINCE",'4-TARIFS ARBITRAGE'!E7,'4-TARIFS ARBITRAGE'!E37)</f>
        <v>307</v>
      </c>
      <c r="F8" s="14" t="n">
        <f aca="false">IF($C$2="TARIFS DE PROTHESES PLAFONNES EN PROVINCE",'4-TARIFS ARBITRAGE'!F7,'4-TARIFS ARBITRAGE'!F37)</f>
        <v>300</v>
      </c>
      <c r="G8" s="14" t="n">
        <f aca="false">IF($C$2="TARIFS DE PROTHESES PLAFONNES EN PROVINCE",'4-TARIFS ARBITRAGE'!G7,'4-TARIFS ARBITRAGE'!G37)</f>
        <v>288</v>
      </c>
      <c r="H8" s="14" t="n">
        <f aca="false">IF($C$2="TARIFS DE PROTHESES PLAFONNES EN PROVINCE",'4-TARIFS ARBITRAGE'!H7,'4-TARIFS ARBITRAGE'!H37)</f>
        <v>290</v>
      </c>
      <c r="I8" s="14" t="n">
        <f aca="false">IF($C$2="TARIFS DE PROTHESES PLAFONNES EN PROVINCE",'4-TARIFS ARBITRAGE'!I7,'4-TARIFS ARBITRAGE'!I37)</f>
        <v>278</v>
      </c>
      <c r="J8" s="15" t="n">
        <f aca="false">-(1-K8/I8)</f>
        <v>-0.100719424460432</v>
      </c>
      <c r="K8" s="14" t="n">
        <v>250</v>
      </c>
    </row>
    <row r="9" customFormat="false" ht="15.75" hidden="false" customHeight="false" outlineLevel="0" collapsed="false">
      <c r="A9" s="12" t="s">
        <v>12</v>
      </c>
      <c r="B9" s="13"/>
      <c r="C9" s="14" t="n">
        <f aca="false">IF($C$2="TARIFS DE PROTHESES PLAFONNES EN PROVINCE",'4-TARIFS ARBITRAGE'!C8,'4-TARIFS ARBITRAGE'!C38)</f>
        <v>550</v>
      </c>
      <c r="D9" s="14" t="n">
        <f aca="false">IF($C$2="TARIFS DE PROTHESES PLAFONNES EN PROVINCE",'4-TARIFS ARBITRAGE'!D8,'4-TARIFS ARBITRAGE'!D38)</f>
        <v>530</v>
      </c>
      <c r="E9" s="14" t="n">
        <f aca="false">IF($C$2="TARIFS DE PROTHESES PLAFONNES EN PROVINCE",'4-TARIFS ARBITRAGE'!E8,'4-TARIFS ARBITRAGE'!E38)</f>
        <v>509</v>
      </c>
      <c r="F9" s="14" t="n">
        <f aca="false">IF($C$2="TARIFS DE PROTHESES PLAFONNES EN PROVINCE",'4-TARIFS ARBITRAGE'!F8,'4-TARIFS ARBITRAGE'!F38)</f>
        <v>510</v>
      </c>
      <c r="G9" s="14" t="n">
        <f aca="false">IF($C$2="TARIFS DE PROTHESES PLAFONNES EN PROVINCE",'4-TARIFS ARBITRAGE'!G8,'4-TARIFS ARBITRAGE'!G38)</f>
        <v>490</v>
      </c>
      <c r="H9" s="14" t="n">
        <f aca="false">IF($C$2="TARIFS DE PROTHESES PLAFONNES EN PROVINCE",'4-TARIFS ARBITRAGE'!H8,'4-TARIFS ARBITRAGE'!H38)</f>
        <v>510</v>
      </c>
      <c r="I9" s="14" t="n">
        <f aca="false">IF($C$2="TARIFS DE PROTHESES PLAFONNES EN PROVINCE",'4-TARIFS ARBITRAGE'!I8,'4-TARIFS ARBITRAGE'!I38)</f>
        <v>490</v>
      </c>
      <c r="J9" s="15" t="n">
        <f aca="false">-(1-K9/I9)</f>
        <v>-0.163265306122449</v>
      </c>
      <c r="K9" s="14" t="n">
        <v>410</v>
      </c>
    </row>
    <row r="10" customFormat="false" ht="15.75" hidden="false" customHeight="false" outlineLevel="0" collapsed="false">
      <c r="A10" s="17" t="s">
        <v>13</v>
      </c>
      <c r="B10" s="13"/>
      <c r="C10" s="14" t="n">
        <f aca="false">IF($C$2="TARIFS DE PROTHESES PLAFONNES EN PROVINCE",'4-TARIFS ARBITRAGE'!C9,'4-TARIFS ARBITRAGE'!C39)</f>
        <v>590</v>
      </c>
      <c r="D10" s="14" t="n">
        <f aca="false">IF($C$2="TARIFS DE PROTHESES PLAFONNES EN PROVINCE",'4-TARIFS ARBITRAGE'!D9,'4-TARIFS ARBITRAGE'!D39)</f>
        <v>570</v>
      </c>
      <c r="E10" s="18" t="n">
        <f aca="false">IF($C$2="TARIFS DE PROTHESES PLAFONNES EN PROVINCE",'4-TARIFS ARBITRAGE'!E9,'4-TARIFS ARBITRAGE'!E39)</f>
        <v>570</v>
      </c>
      <c r="F10" s="14" t="n">
        <f aca="false">IF($C$2="TARIFS DE PROTHESES PLAFONNES EN PROVINCE",'4-TARIFS ARBITRAGE'!F9,'4-TARIFS ARBITRAGE'!F39)</f>
        <v>550</v>
      </c>
      <c r="G10" s="18" t="n">
        <f aca="false">IF($C$2="TARIFS DE PROTHESES PLAFONNES EN PROVINCE",'4-TARIFS ARBITRAGE'!G9,'4-TARIFS ARBITRAGE'!G39)</f>
        <v>550</v>
      </c>
      <c r="H10" s="14" t="n">
        <f aca="false">IF($C$2="TARIFS DE PROTHESES PLAFONNES EN PROVINCE",'4-TARIFS ARBITRAGE'!H9,'4-TARIFS ARBITRAGE'!H39)</f>
        <v>550</v>
      </c>
      <c r="I10" s="18" t="n">
        <f aca="false">IF($C$2="TARIFS DE PROTHESES PLAFONNES EN PROVINCE",'4-TARIFS ARBITRAGE'!I9,'4-TARIFS ARBITRAGE'!I39)</f>
        <v>550</v>
      </c>
      <c r="J10" s="19"/>
      <c r="K10" s="13"/>
    </row>
    <row r="11" customFormat="false" ht="15.75" hidden="false" customHeight="false" outlineLevel="0" collapsed="false">
      <c r="A11" s="12" t="s">
        <v>14</v>
      </c>
      <c r="B11" s="13"/>
      <c r="C11" s="13"/>
      <c r="D11" s="14" t="n">
        <f aca="false">IF($C$2="TARIFS DE PROTHESES PLAFONNES EN PROVINCE",'4-TARIFS ARBITRAGE'!D10,'4-TARIFS ARBITRAGE'!D40)</f>
        <v>295</v>
      </c>
      <c r="E11" s="14" t="n">
        <f aca="false">IF($C$2="TARIFS DE PROTHESES PLAFONNES EN PROVINCE",'4-TARIFS ARBITRAGE'!E10,'4-TARIFS ARBITRAGE'!E40)</f>
        <v>283</v>
      </c>
      <c r="F11" s="14" t="n">
        <f aca="false">IF($C$2="TARIFS DE PROTHESES PLAFONNES EN PROVINCE",'4-TARIFS ARBITRAGE'!F10,'4-TARIFS ARBITRAGE'!F40)</f>
        <v>295</v>
      </c>
      <c r="G11" s="14" t="n">
        <f aca="false">IF($C$2="TARIFS DE PROTHESES PLAFONNES EN PROVINCE",'4-TARIFS ARBITRAGE'!G10,'4-TARIFS ARBITRAGE'!G40)</f>
        <v>283</v>
      </c>
      <c r="H11" s="14" t="n">
        <f aca="false">IF($C$2="TARIFS DE PROTHESES PLAFONNES EN PROVINCE",'4-TARIFS ARBITRAGE'!H10,'4-TARIFS ARBITRAGE'!H40)</f>
        <v>295</v>
      </c>
      <c r="I11" s="14" t="n">
        <f aca="false">IF($C$2="TARIFS DE PROTHESES PLAFONNES EN PROVINCE",'4-TARIFS ARBITRAGE'!I10,'4-TARIFS ARBITRAGE'!I40)</f>
        <v>283</v>
      </c>
      <c r="J11" s="15" t="n">
        <f aca="false">-(1-K11/I11)</f>
        <v>-0.11660777385159</v>
      </c>
      <c r="K11" s="14" t="n">
        <v>250</v>
      </c>
    </row>
    <row r="12" customFormat="false" ht="15.75" hidden="false" customHeight="false" outlineLevel="0" collapsed="false">
      <c r="A12" s="12" t="s">
        <v>15</v>
      </c>
      <c r="B12" s="13"/>
      <c r="C12" s="13"/>
      <c r="D12" s="13"/>
      <c r="E12" s="13"/>
      <c r="F12" s="14" t="n">
        <f aca="false">IF($C$2="TARIFS DE PROTHESES PLAFONNES EN PROVINCE",'4-TARIFS ARBITRAGE'!F11,'4-TARIFS ARBITRAGE'!F41)</f>
        <v>1620</v>
      </c>
      <c r="G12" s="14" t="n">
        <f aca="false">IF($C$2="TARIFS DE PROTHESES PLAFONNES EN PROVINCE",'4-TARIFS ARBITRAGE'!G11,'4-TARIFS ARBITRAGE'!G41)</f>
        <v>1555</v>
      </c>
      <c r="H12" s="14" t="n">
        <f aca="false">IF($C$2="TARIFS DE PROTHESES PLAFONNES EN PROVINCE",'4-TARIFS ARBITRAGE'!H11,'4-TARIFS ARBITRAGE'!H41)</f>
        <v>1450</v>
      </c>
      <c r="I12" s="14" t="n">
        <f aca="false">IF($C$2="TARIFS DE PROTHESES PLAFONNES EN PROVINCE",'4-TARIFS ARBITRAGE'!I11,'4-TARIFS ARBITRAGE'!I41)</f>
        <v>1392</v>
      </c>
      <c r="J12" s="15" t="n">
        <f aca="false">-(1-K12/I12)</f>
        <v>-0.112241379310345</v>
      </c>
      <c r="K12" s="16" t="n">
        <v>1235.76</v>
      </c>
    </row>
    <row r="13" customFormat="false" ht="15.75" hidden="false" customHeight="false" outlineLevel="0" collapsed="false">
      <c r="A13" s="20" t="s">
        <v>16</v>
      </c>
      <c r="B13" s="13"/>
      <c r="C13" s="13"/>
      <c r="D13" s="13"/>
      <c r="E13" s="13"/>
      <c r="F13" s="21" t="n">
        <f aca="false">F12/3</f>
        <v>540</v>
      </c>
      <c r="G13" s="21" t="n">
        <f aca="false">G12/3</f>
        <v>518.333333333333</v>
      </c>
      <c r="H13" s="21" t="n">
        <f aca="false">H12/3</f>
        <v>483.333333333333</v>
      </c>
      <c r="I13" s="21" t="n">
        <f aca="false">I12/3</f>
        <v>464</v>
      </c>
      <c r="J13" s="19"/>
      <c r="K13" s="21" t="n">
        <f aca="false">K12/3</f>
        <v>411.92</v>
      </c>
    </row>
    <row r="14" customFormat="false" ht="15.75" hidden="false" customHeight="false" outlineLevel="0" collapsed="false">
      <c r="A14" s="12" t="s">
        <v>17</v>
      </c>
      <c r="B14" s="13"/>
      <c r="C14" s="13"/>
      <c r="D14" s="13"/>
      <c r="E14" s="13"/>
      <c r="F14" s="14" t="n">
        <f aca="false">IF($C$2="TARIFS DE PROTHESES PLAFONNES EN PROVINCE",'4-TARIFS ARBITRAGE'!F13,'4-TARIFS ARBITRAGE'!F43)</f>
        <v>1400</v>
      </c>
      <c r="G14" s="14" t="n">
        <f aca="false">IF($C$2="TARIFS DE PROTHESES PLAFONNES EN PROVINCE",'4-TARIFS ARBITRAGE'!G13,'4-TARIFS ARBITRAGE'!G43)</f>
        <v>1344</v>
      </c>
      <c r="H14" s="14" t="n">
        <f aca="false">IF($C$2="TARIFS DE PROTHESES PLAFONNES EN PROVINCE",'4-TARIFS ARBITRAGE'!H13,'4-TARIFS ARBITRAGE'!H43)</f>
        <v>1260</v>
      </c>
      <c r="I14" s="14" t="n">
        <f aca="false">IF($C$2="TARIFS DE PROTHESES PLAFONNES EN PROVINCE",'4-TARIFS ARBITRAGE'!I13,'4-TARIFS ARBITRAGE'!I43)</f>
        <v>1210</v>
      </c>
      <c r="J14" s="15" t="n">
        <f aca="false">-(1-K14/I14)</f>
        <v>-0.105140495867769</v>
      </c>
      <c r="K14" s="16" t="n">
        <v>1082.78</v>
      </c>
    </row>
    <row r="15" customFormat="false" ht="15.75" hidden="false" customHeight="false" outlineLevel="0" collapsed="false">
      <c r="A15" s="20" t="s">
        <v>16</v>
      </c>
      <c r="B15" s="13"/>
      <c r="C15" s="13"/>
      <c r="D15" s="13"/>
      <c r="E15" s="13"/>
      <c r="F15" s="21" t="n">
        <f aca="false">F14/3</f>
        <v>466.666666666667</v>
      </c>
      <c r="G15" s="21" t="n">
        <f aca="false">G14/3</f>
        <v>448</v>
      </c>
      <c r="H15" s="21" t="n">
        <f aca="false">H14/3</f>
        <v>420</v>
      </c>
      <c r="I15" s="21" t="n">
        <f aca="false">I14/3</f>
        <v>403.333333333333</v>
      </c>
      <c r="J15" s="19"/>
      <c r="K15" s="21" t="n">
        <f aca="false">K14/3</f>
        <v>360.9266667</v>
      </c>
    </row>
    <row r="16" customFormat="false" ht="15.75" hidden="false" customHeight="false" outlineLevel="0" collapsed="false">
      <c r="A16" s="12" t="s">
        <v>18</v>
      </c>
      <c r="B16" s="13"/>
      <c r="C16" s="13"/>
      <c r="D16" s="13"/>
      <c r="E16" s="13"/>
      <c r="F16" s="14" t="n">
        <f aca="false">IF($C$2="TARIFS DE PROTHESES PLAFONNES EN PROVINCE",'4-TARIFS ARBITRAGE'!F15,'4-TARIFS ARBITRAGE'!F45)</f>
        <v>1175</v>
      </c>
      <c r="G16" s="14" t="n">
        <f aca="false">IF($C$2="TARIFS DE PROTHESES PLAFONNES EN PROVINCE",'4-TARIFS ARBITRAGE'!G15,'4-TARIFS ARBITRAGE'!G45)</f>
        <v>1128</v>
      </c>
      <c r="H16" s="14" t="n">
        <f aca="false">IF($C$2="TARIFS DE PROTHESES PLAFONNES EN PROVINCE",'4-TARIFS ARBITRAGE'!H15,'4-TARIFS ARBITRAGE'!H45)</f>
        <v>1070</v>
      </c>
      <c r="I16" s="14" t="n">
        <f aca="false">IF($C$2="TARIFS DE PROTHESES PLAFONNES EN PROVINCE",'4-TARIFS ARBITRAGE'!I15,'4-TARIFS ARBITRAGE'!I45)</f>
        <v>1027</v>
      </c>
      <c r="J16" s="15" t="n">
        <f aca="false">-(1-K16/I16)</f>
        <v>-0.107594936708861</v>
      </c>
      <c r="K16" s="16" t="n">
        <v>916.5</v>
      </c>
    </row>
    <row r="17" customFormat="false" ht="15.75" hidden="false" customHeight="false" outlineLevel="0" collapsed="false">
      <c r="A17" s="20" t="s">
        <v>16</v>
      </c>
      <c r="B17" s="13"/>
      <c r="C17" s="13"/>
      <c r="D17" s="13"/>
      <c r="E17" s="13"/>
      <c r="F17" s="21" t="n">
        <f aca="false">F16/3</f>
        <v>391.666666666667</v>
      </c>
      <c r="G17" s="21" t="n">
        <f aca="false">G16/3</f>
        <v>376</v>
      </c>
      <c r="H17" s="21" t="n">
        <f aca="false">H16/3</f>
        <v>356.666666666667</v>
      </c>
      <c r="I17" s="21" t="n">
        <f aca="false">I16/3</f>
        <v>342.333333333333</v>
      </c>
      <c r="J17" s="19"/>
      <c r="K17" s="21" t="n">
        <f aca="false">K16/3</f>
        <v>305.5</v>
      </c>
    </row>
    <row r="18" customFormat="false" ht="15.75" hidden="false" customHeight="false" outlineLevel="0" collapsed="false">
      <c r="A18" s="12" t="s">
        <v>19</v>
      </c>
      <c r="B18" s="13"/>
      <c r="C18" s="13"/>
      <c r="D18" s="13"/>
      <c r="E18" s="13"/>
      <c r="F18" s="14" t="n">
        <f aca="false">IF($C$2="TARIFS DE PROTHESES PLAFONNES EN PROVINCE",'4-TARIFS ARBITRAGE'!F17,'4-TARIFS ARBITRAGE'!F47)</f>
        <v>960</v>
      </c>
      <c r="G18" s="14" t="n">
        <f aca="false">IF($C$2="TARIFS DE PROTHESES PLAFONNES EN PROVINCE",'4-TARIFS ARBITRAGE'!G17,'4-TARIFS ARBITRAGE'!G47)</f>
        <v>922</v>
      </c>
      <c r="H18" s="14" t="n">
        <f aca="false">IF($C$2="TARIFS DE PROTHESES PLAFONNES EN PROVINCE",'4-TARIFS ARBITRAGE'!H17,'4-TARIFS ARBITRAGE'!H47)</f>
        <v>855</v>
      </c>
      <c r="I18" s="14" t="n">
        <f aca="false">IF($C$2="TARIFS DE PROTHESES PLAFONNES EN PROVINCE",'4-TARIFS ARBITRAGE'!I17,'4-TARIFS ARBITRAGE'!I47)</f>
        <v>821</v>
      </c>
      <c r="J18" s="15" t="n">
        <f aca="false">-(1-K18/I18)</f>
        <v>-0.0861997563946406</v>
      </c>
      <c r="K18" s="16" t="n">
        <v>750.23</v>
      </c>
    </row>
    <row r="19" customFormat="false" ht="15.75" hidden="false" customHeight="false" outlineLevel="0" collapsed="false">
      <c r="A19" s="20" t="s">
        <v>16</v>
      </c>
      <c r="B19" s="13"/>
      <c r="C19" s="13"/>
      <c r="D19" s="13"/>
      <c r="E19" s="13"/>
      <c r="F19" s="21" t="n">
        <f aca="false">F18/3</f>
        <v>320</v>
      </c>
      <c r="G19" s="21" t="n">
        <f aca="false">G18/3</f>
        <v>307.333333333333</v>
      </c>
      <c r="H19" s="21" t="n">
        <f aca="false">H18/3</f>
        <v>285</v>
      </c>
      <c r="I19" s="21" t="n">
        <f aca="false">I18/3</f>
        <v>273.666666666667</v>
      </c>
      <c r="J19" s="19"/>
      <c r="K19" s="21" t="n">
        <f aca="false">K18/3</f>
        <v>250.0766667</v>
      </c>
    </row>
    <row r="20" customFormat="false" ht="15.75" hidden="false" customHeight="false" outlineLevel="0" collapsed="false">
      <c r="A20" s="12" t="s">
        <v>20</v>
      </c>
      <c r="B20" s="13"/>
      <c r="C20" s="13"/>
      <c r="D20" s="13"/>
      <c r="E20" s="13"/>
      <c r="F20" s="14" t="n">
        <f aca="false">IF($C$2="TARIFS DE PROTHESES PLAFONNES EN PROVINCE",'4-TARIFS ARBITRAGE'!F19,'4-TARIFS ARBITRAGE'!F49)</f>
        <v>550</v>
      </c>
      <c r="G20" s="14" t="n">
        <f aca="false">IF($C$2="TARIFS DE PROTHESES PLAFONNES EN PROVINCE",'4-TARIFS ARBITRAGE'!G19,'4-TARIFS ARBITRAGE'!G49)</f>
        <v>528</v>
      </c>
      <c r="H20" s="14" t="n">
        <f aca="false">IF($C$2="TARIFS DE PROTHESES PLAFONNES EN PROVINCE",'4-TARIFS ARBITRAGE'!H19,'4-TARIFS ARBITRAGE'!H49)</f>
        <v>490</v>
      </c>
      <c r="I20" s="14" t="n">
        <f aca="false">IF($C$2="TARIFS DE PROTHESES PLAFONNES EN PROVINCE",'4-TARIFS ARBITRAGE'!I19,'4-TARIFS ARBITRAGE'!I49)</f>
        <v>470</v>
      </c>
      <c r="J20" s="19"/>
      <c r="K20" s="22"/>
    </row>
    <row r="21" customFormat="false" ht="15.75" hidden="false" customHeight="false" outlineLevel="0" collapsed="false">
      <c r="A21" s="12" t="s">
        <v>21</v>
      </c>
      <c r="B21" s="13"/>
      <c r="C21" s="13"/>
      <c r="D21" s="13"/>
      <c r="E21" s="13"/>
      <c r="F21" s="14" t="n">
        <f aca="false">IF($C$2="TARIFS DE PROTHESES PLAFONNES EN PROVINCE",'4-TARIFS ARBITRAGE'!F20,'4-TARIFS ARBITRAGE'!F50)</f>
        <v>325</v>
      </c>
      <c r="G21" s="14" t="n">
        <f aca="false">IF($C$2="TARIFS DE PROTHESES PLAFONNES EN PROVINCE",'4-TARIFS ARBITRAGE'!G20,'4-TARIFS ARBITRAGE'!G50)</f>
        <v>312</v>
      </c>
      <c r="H21" s="14" t="n">
        <f aca="false">IF($C$2="TARIFS DE PROTHESES PLAFONNES EN PROVINCE",'4-TARIFS ARBITRAGE'!H20,'4-TARIFS ARBITRAGE'!H50)</f>
        <v>290</v>
      </c>
      <c r="I21" s="14" t="n">
        <f aca="false">IF($C$2="TARIFS DE PROTHESES PLAFONNES EN PROVINCE",'4-TARIFS ARBITRAGE'!I20,'4-TARIFS ARBITRAGE'!I50)</f>
        <v>278</v>
      </c>
      <c r="J21" s="19"/>
      <c r="K21" s="22"/>
    </row>
    <row r="22" customFormat="false" ht="15.75" hidden="false" customHeight="false" outlineLevel="0" collapsed="false">
      <c r="A22" s="12" t="s">
        <v>22</v>
      </c>
      <c r="B22" s="13"/>
      <c r="C22" s="13"/>
      <c r="D22" s="13"/>
      <c r="E22" s="13"/>
      <c r="F22" s="14" t="n">
        <f aca="false">IF($C$2="TARIFS DE PROTHESES PLAFONNES EN PROVINCE",'4-TARIFS ARBITRAGE'!F21,'4-TARIFS ARBITRAGE'!F51)</f>
        <v>535</v>
      </c>
      <c r="G22" s="14" t="n">
        <f aca="false">IF($C$2="TARIFS DE PROTHESES PLAFONNES EN PROVINCE",'4-TARIFS ARBITRAGE'!G21,'4-TARIFS ARBITRAGE'!G51)</f>
        <v>514</v>
      </c>
      <c r="H22" s="14" t="n">
        <f aca="false">IF($C$2="TARIFS DE PROTHESES PLAFONNES EN PROVINCE",'4-TARIFS ARBITRAGE'!H21,'4-TARIFS ARBITRAGE'!H51)</f>
        <v>445</v>
      </c>
      <c r="I22" s="14" t="n">
        <f aca="false">IF($C$2="TARIFS DE PROTHESES PLAFONNES EN PROVINCE",'4-TARIFS ARBITRAGE'!I21,'4-TARIFS ARBITRAGE'!I51)</f>
        <v>427</v>
      </c>
      <c r="J22" s="19"/>
      <c r="K22" s="22"/>
    </row>
    <row r="23" customFormat="false" ht="15.75" hidden="false" customHeight="false" outlineLevel="0" collapsed="false">
      <c r="A23" s="12" t="s">
        <v>23</v>
      </c>
      <c r="B23" s="13"/>
      <c r="C23" s="13"/>
      <c r="D23" s="13"/>
      <c r="E23" s="13"/>
      <c r="F23" s="14" t="n">
        <f aca="false">IF($C$2="TARIFS DE PROTHESES PLAFONNES EN PROVINCE",'4-TARIFS ARBITRAGE'!F22,'4-TARIFS ARBITRAGE'!F52)</f>
        <v>305</v>
      </c>
      <c r="G23" s="14" t="n">
        <f aca="false">IF($C$2="TARIFS DE PROTHESES PLAFONNES EN PROVINCE",'4-TARIFS ARBITRAGE'!G22,'4-TARIFS ARBITRAGE'!G52)</f>
        <v>293</v>
      </c>
      <c r="H23" s="14" t="n">
        <f aca="false">IF($C$2="TARIFS DE PROTHESES PLAFONNES EN PROVINCE",'4-TARIFS ARBITRAGE'!H22,'4-TARIFS ARBITRAGE'!H52)</f>
        <v>270</v>
      </c>
      <c r="I23" s="14" t="n">
        <f aca="false">IF($C$2="TARIFS DE PROTHESES PLAFONNES EN PROVINCE",'4-TARIFS ARBITRAGE'!I22,'4-TARIFS ARBITRAGE'!I52)</f>
        <v>259</v>
      </c>
      <c r="J23" s="19"/>
      <c r="K23" s="22"/>
    </row>
    <row r="24" customFormat="false" ht="15.75" hidden="false" customHeight="false" outlineLevel="0" collapsed="false">
      <c r="A24" s="12" t="s">
        <v>24</v>
      </c>
      <c r="B24" s="13"/>
      <c r="C24" s="13"/>
      <c r="D24" s="13"/>
      <c r="E24" s="13"/>
      <c r="F24" s="13"/>
      <c r="G24" s="13"/>
      <c r="H24" s="14" t="n">
        <f aca="false">IF($C$2="TARIFS DE PROTHESES PLAFONNES EN PROVINCE",'4-TARIFS ARBITRAGE'!H23,'4-TARIFS ARBITRAGE'!H53)</f>
        <v>670</v>
      </c>
      <c r="I24" s="14" t="n">
        <f aca="false">IF($C$2="TARIFS DE PROTHESES PLAFONNES EN PROVINCE",'4-TARIFS ARBITRAGE'!I23,'4-TARIFS ARBITRAGE'!I53)</f>
        <v>643</v>
      </c>
      <c r="J24" s="15" t="n">
        <f aca="false">-(1-K24/I24)</f>
        <v>-0.25353032659409</v>
      </c>
      <c r="K24" s="16" t="n">
        <v>479.98</v>
      </c>
    </row>
    <row r="25" customFormat="false" ht="15.75" hidden="false" customHeight="false" outlineLevel="0" collapsed="false">
      <c r="A25" s="12" t="s">
        <v>25</v>
      </c>
      <c r="B25" s="13"/>
      <c r="C25" s="13"/>
      <c r="D25" s="13"/>
      <c r="E25" s="13"/>
      <c r="F25" s="13"/>
      <c r="G25" s="13"/>
      <c r="H25" s="14" t="n">
        <f aca="false">IF($C$2="TARIFS DE PROTHESES PLAFONNES EN PROVINCE",'4-TARIFS ARBITRAGE'!H24,'4-TARIFS ARBITRAGE'!H54)</f>
        <v>710</v>
      </c>
      <c r="I25" s="14" t="n">
        <f aca="false">IF($C$2="TARIFS DE PROTHESES PLAFONNES EN PROVINCE",'4-TARIFS ARBITRAGE'!I24,'4-TARIFS ARBITRAGE'!I54)</f>
        <v>682</v>
      </c>
      <c r="J25" s="15" t="n">
        <f aca="false">-(1-K25/I25)</f>
        <v>-0.298284457478006</v>
      </c>
      <c r="K25" s="16" t="n">
        <v>478.57</v>
      </c>
    </row>
    <row r="26" customFormat="false" ht="15.75" hidden="false" customHeight="false" outlineLevel="0" collapsed="false">
      <c r="A26" s="12" t="s">
        <v>26</v>
      </c>
      <c r="B26" s="13"/>
      <c r="C26" s="13"/>
      <c r="D26" s="13"/>
      <c r="E26" s="13"/>
      <c r="F26" s="13"/>
      <c r="G26" s="13"/>
      <c r="H26" s="14" t="n">
        <f aca="false">IF($C$2="TARIFS DE PROTHESES PLAFONNES EN PROVINCE",'4-TARIFS ARBITRAGE'!H25,'4-TARIFS ARBITRAGE'!H55)</f>
        <v>750</v>
      </c>
      <c r="I26" s="14" t="n">
        <f aca="false">IF($C$2="TARIFS DE PROTHESES PLAFONNES EN PROVINCE",'4-TARIFS ARBITRAGE'!I25,'4-TARIFS ARBITRAGE'!I55)</f>
        <v>720</v>
      </c>
      <c r="J26" s="15" t="n">
        <f aca="false">-(1-K26/I26)</f>
        <v>-0.208333333333333</v>
      </c>
      <c r="K26" s="16" t="n">
        <v>570</v>
      </c>
    </row>
    <row r="27" customFormat="false" ht="15.75" hidden="false" customHeight="false" outlineLevel="0" collapsed="false">
      <c r="A27" s="12" t="s">
        <v>27</v>
      </c>
      <c r="B27" s="13"/>
      <c r="C27" s="13"/>
      <c r="D27" s="13"/>
      <c r="E27" s="13"/>
      <c r="F27" s="13"/>
      <c r="G27" s="13"/>
      <c r="H27" s="14" t="n">
        <f aca="false">IF($C$2="TARIFS DE PROTHESES PLAFONNES EN PROVINCE",'4-TARIFS ARBITRAGE'!H26,'4-TARIFS ARBITRAGE'!H56)</f>
        <v>800</v>
      </c>
      <c r="I27" s="14" t="n">
        <f aca="false">IF($C$2="TARIFS DE PROTHESES PLAFONNES EN PROVINCE",'4-TARIFS ARBITRAGE'!I26,'4-TARIFS ARBITRAGE'!I56)</f>
        <v>768</v>
      </c>
      <c r="J27" s="15" t="n">
        <f aca="false">-(1-K27/I27)</f>
        <v>-0.2578125</v>
      </c>
      <c r="K27" s="16" t="n">
        <v>570</v>
      </c>
    </row>
    <row r="28" customFormat="false" ht="15.75" hidden="false" customHeight="false" outlineLevel="0" collapsed="false">
      <c r="A28" s="12" t="s">
        <v>28</v>
      </c>
      <c r="B28" s="13"/>
      <c r="C28" s="13"/>
      <c r="D28" s="13"/>
      <c r="E28" s="13"/>
      <c r="F28" s="13"/>
      <c r="G28" s="13"/>
      <c r="H28" s="14" t="n">
        <f aca="false">IF($C$2="TARIFS DE PROTHESES PLAFONNES EN PROVINCE",'4-TARIFS ARBITRAGE'!H27,'4-TARIFS ARBITRAGE'!H57)</f>
        <v>850</v>
      </c>
      <c r="I28" s="14" t="n">
        <f aca="false">IF($C$2="TARIFS DE PROTHESES PLAFONNES EN PROVINCE",'4-TARIFS ARBITRAGE'!I27,'4-TARIFS ARBITRAGE'!I57)</f>
        <v>816</v>
      </c>
      <c r="J28" s="15" t="n">
        <f aca="false">-(1-K28/I28)</f>
        <v>-0.301470588235294</v>
      </c>
      <c r="K28" s="16" t="n">
        <v>570</v>
      </c>
    </row>
    <row r="29" customFormat="false" ht="15.75" hidden="false" customHeight="false" outlineLevel="0" collapsed="false">
      <c r="A29" s="12" t="s">
        <v>29</v>
      </c>
      <c r="B29" s="13"/>
      <c r="C29" s="13"/>
      <c r="D29" s="13"/>
      <c r="E29" s="13"/>
      <c r="F29" s="13"/>
      <c r="G29" s="13"/>
      <c r="H29" s="14" t="n">
        <f aca="false">IF($C$2="TARIFS DE PROTHESES PLAFONNES EN PROVINCE",'4-TARIFS ARBITRAGE'!H28,'4-TARIFS ARBITRAGE'!H58)</f>
        <v>985</v>
      </c>
      <c r="I29" s="14" t="n">
        <f aca="false">IF($C$2="TARIFS DE PROTHESES PLAFONNES EN PROVINCE",'4-TARIFS ARBITRAGE'!I28,'4-TARIFS ARBITRAGE'!I58)</f>
        <v>946</v>
      </c>
      <c r="J29" s="15" t="n">
        <f aca="false">-(1-K29/I29)</f>
        <v>-0.2303911205074</v>
      </c>
      <c r="K29" s="16" t="n">
        <v>728.05</v>
      </c>
    </row>
    <row r="30" customFormat="false" ht="15.75" hidden="false" customHeight="false" outlineLevel="0" collapsed="false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customFormat="false" ht="15.75" hidden="false" customHeight="false" outlineLevel="0" collapsed="false">
      <c r="A31" s="23"/>
      <c r="B31" s="23"/>
      <c r="C31" s="24"/>
      <c r="D31" s="24"/>
      <c r="E31" s="24"/>
      <c r="F31" s="24"/>
      <c r="G31" s="24"/>
      <c r="H31" s="24"/>
      <c r="I31" s="24"/>
      <c r="J31" s="23"/>
      <c r="K31" s="23"/>
    </row>
    <row r="32" customFormat="false" ht="15.75" hidden="false" customHeight="false" outlineLevel="0" collapsed="false">
      <c r="A32" s="6"/>
      <c r="B32" s="3"/>
      <c r="C32" s="8" t="s">
        <v>30</v>
      </c>
      <c r="D32" s="8"/>
      <c r="E32" s="8"/>
      <c r="F32" s="8"/>
      <c r="G32" s="8"/>
      <c r="H32" s="8"/>
      <c r="I32" s="8"/>
      <c r="J32" s="24"/>
      <c r="K32" s="24"/>
    </row>
    <row r="33" customFormat="false" ht="15.75" hidden="false" customHeight="true" outlineLevel="0" collapsed="false">
      <c r="A33" s="7" t="s">
        <v>3</v>
      </c>
      <c r="B33" s="8" t="n">
        <v>2017</v>
      </c>
      <c r="C33" s="8" t="n">
        <v>2018</v>
      </c>
      <c r="D33" s="8" t="n">
        <v>2019</v>
      </c>
      <c r="E33" s="8"/>
      <c r="F33" s="8" t="n">
        <v>2020</v>
      </c>
      <c r="G33" s="8"/>
      <c r="H33" s="8" t="n">
        <v>2021</v>
      </c>
      <c r="I33" s="8"/>
      <c r="J33" s="9" t="s">
        <v>4</v>
      </c>
      <c r="K33" s="8" t="s">
        <v>5</v>
      </c>
    </row>
    <row r="34" customFormat="false" ht="15.75" hidden="false" customHeight="false" outlineLevel="0" collapsed="false">
      <c r="A34" s="3"/>
      <c r="B34" s="3"/>
      <c r="C34" s="3"/>
      <c r="D34" s="8" t="s">
        <v>6</v>
      </c>
      <c r="E34" s="8" t="s">
        <v>7</v>
      </c>
      <c r="F34" s="8" t="s">
        <v>6</v>
      </c>
      <c r="G34" s="8" t="s">
        <v>7</v>
      </c>
      <c r="H34" s="8" t="s">
        <v>6</v>
      </c>
      <c r="I34" s="8" t="s">
        <v>7</v>
      </c>
      <c r="J34" s="9"/>
      <c r="K34" s="3"/>
    </row>
    <row r="35" customFormat="false" ht="15.75" hidden="false" customHeight="false" outlineLevel="0" collapsed="false">
      <c r="A35" s="12" t="s">
        <v>31</v>
      </c>
      <c r="B35" s="16" t="n">
        <v>43.38</v>
      </c>
      <c r="C35" s="16" t="n">
        <v>43.38</v>
      </c>
      <c r="D35" s="16" t="n">
        <v>52.06</v>
      </c>
      <c r="E35" s="16" t="n">
        <v>43.38</v>
      </c>
      <c r="F35" s="16" t="n">
        <v>52.06</v>
      </c>
      <c r="G35" s="22" t="s">
        <v>32</v>
      </c>
      <c r="H35" s="16" t="n">
        <v>58.08</v>
      </c>
      <c r="I35" s="22" t="s">
        <v>32</v>
      </c>
      <c r="J35" s="19"/>
      <c r="K35" s="16"/>
    </row>
    <row r="36" customFormat="false" ht="15.75" hidden="false" customHeight="false" outlineLevel="0" collapsed="false">
      <c r="A36" s="12" t="s">
        <v>33</v>
      </c>
      <c r="B36" s="16" t="n">
        <v>86.76</v>
      </c>
      <c r="C36" s="16" t="n">
        <v>86.76</v>
      </c>
      <c r="D36" s="16" t="n">
        <v>104.13</v>
      </c>
      <c r="E36" s="16" t="n">
        <v>86.76</v>
      </c>
      <c r="F36" s="16" t="n">
        <v>104.13</v>
      </c>
      <c r="G36" s="22" t="s">
        <v>32</v>
      </c>
      <c r="H36" s="16" t="n">
        <v>104.13</v>
      </c>
      <c r="I36" s="22" t="s">
        <v>32</v>
      </c>
      <c r="J36" s="19"/>
      <c r="K36" s="16" t="s">
        <v>34</v>
      </c>
    </row>
    <row r="37" customFormat="false" ht="15.75" hidden="false" customHeight="false" outlineLevel="0" collapsed="false">
      <c r="A37" s="12" t="s">
        <v>35</v>
      </c>
      <c r="B37" s="16" t="n">
        <v>130.14</v>
      </c>
      <c r="C37" s="16" t="n">
        <v>130.14</v>
      </c>
      <c r="D37" s="16" t="n">
        <v>149.66</v>
      </c>
      <c r="E37" s="16" t="n">
        <v>130.14</v>
      </c>
      <c r="F37" s="16" t="n">
        <v>149.66</v>
      </c>
      <c r="G37" s="22" t="s">
        <v>32</v>
      </c>
      <c r="H37" s="16" t="n">
        <v>149.66</v>
      </c>
      <c r="I37" s="22" t="s">
        <v>32</v>
      </c>
      <c r="J37" s="19"/>
      <c r="K37" s="16"/>
    </row>
    <row r="38" customFormat="false" ht="15.75" hidden="false" customHeight="false" outlineLevel="0" collapsed="false">
      <c r="A38" s="12" t="s">
        <v>36</v>
      </c>
      <c r="B38" s="16" t="n">
        <v>173.52</v>
      </c>
      <c r="C38" s="16" t="n">
        <v>173.52</v>
      </c>
      <c r="D38" s="16" t="n">
        <v>199.55</v>
      </c>
      <c r="E38" s="16" t="n">
        <v>173.52</v>
      </c>
      <c r="F38" s="16" t="n">
        <v>199.55</v>
      </c>
      <c r="G38" s="22" t="s">
        <v>32</v>
      </c>
      <c r="H38" s="16" t="n">
        <v>199.55</v>
      </c>
      <c r="I38" s="22" t="s">
        <v>32</v>
      </c>
      <c r="J38" s="19"/>
      <c r="K38" s="16" t="s">
        <v>37</v>
      </c>
    </row>
    <row r="39" customFormat="false" ht="15.75" hidden="false" customHeight="false" outlineLevel="0" collapsed="false">
      <c r="A39" s="12" t="s">
        <v>38</v>
      </c>
      <c r="B39" s="16" t="n">
        <v>19.28</v>
      </c>
      <c r="C39" s="16" t="n">
        <v>21.59</v>
      </c>
      <c r="D39" s="16" t="n">
        <v>23.27</v>
      </c>
      <c r="E39" s="16" t="n">
        <v>21.59</v>
      </c>
      <c r="F39" s="16" t="n">
        <v>25.48</v>
      </c>
      <c r="G39" s="22" t="s">
        <v>32</v>
      </c>
      <c r="H39" s="16" t="n">
        <v>26.65</v>
      </c>
      <c r="I39" s="22" t="s">
        <v>32</v>
      </c>
      <c r="J39" s="19"/>
      <c r="K39" s="14"/>
    </row>
    <row r="40" customFormat="false" ht="15.75" hidden="false" customHeight="false" outlineLevel="0" collapsed="false">
      <c r="A40" s="12" t="s">
        <v>39</v>
      </c>
      <c r="B40" s="16" t="n">
        <v>33.74</v>
      </c>
      <c r="C40" s="16" t="n">
        <v>37.79</v>
      </c>
      <c r="D40" s="16" t="n">
        <v>40.74</v>
      </c>
      <c r="E40" s="16" t="n">
        <v>37.79</v>
      </c>
      <c r="F40" s="16" t="n">
        <v>44.61</v>
      </c>
      <c r="G40" s="22" t="s">
        <v>32</v>
      </c>
      <c r="H40" s="16" t="n">
        <v>46.75</v>
      </c>
      <c r="I40" s="22" t="s">
        <v>32</v>
      </c>
      <c r="J40" s="19"/>
      <c r="K40" s="14" t="s">
        <v>40</v>
      </c>
    </row>
    <row r="41" customFormat="false" ht="15.75" hidden="false" customHeight="false" outlineLevel="0" collapsed="false">
      <c r="A41" s="12" t="s">
        <v>41</v>
      </c>
      <c r="B41" s="16" t="n">
        <v>40.97</v>
      </c>
      <c r="C41" s="16" t="n">
        <v>47.93</v>
      </c>
      <c r="D41" s="16" t="n">
        <v>53.68</v>
      </c>
      <c r="E41" s="16" t="n">
        <v>47.93</v>
      </c>
      <c r="F41" s="16" t="n">
        <v>60.66</v>
      </c>
      <c r="G41" s="22" t="s">
        <v>32</v>
      </c>
      <c r="H41" s="16" t="n">
        <v>67.33</v>
      </c>
      <c r="I41" s="22" t="s">
        <v>32</v>
      </c>
      <c r="J41" s="19"/>
      <c r="K41" s="14"/>
    </row>
    <row r="42" customFormat="false" ht="15.75" hidden="false" customHeight="false" outlineLevel="0" collapsed="false">
      <c r="A42" s="12" t="s">
        <v>42</v>
      </c>
      <c r="B42" s="16" t="n">
        <v>43</v>
      </c>
      <c r="C42" s="16" t="n">
        <v>45.54</v>
      </c>
      <c r="D42" s="16" t="n">
        <v>49.97</v>
      </c>
      <c r="E42" s="16" t="n">
        <v>45.54</v>
      </c>
      <c r="F42" s="16" t="n">
        <v>59.46</v>
      </c>
      <c r="G42" s="22" t="s">
        <v>32</v>
      </c>
      <c r="H42" s="16" t="n">
        <v>65.99</v>
      </c>
      <c r="I42" s="22" t="s">
        <v>32</v>
      </c>
      <c r="J42" s="19"/>
      <c r="K42" s="14" t="s">
        <v>43</v>
      </c>
    </row>
    <row r="43" customFormat="false" ht="15.75" hidden="false" customHeight="false" outlineLevel="0" collapsed="false">
      <c r="A43" s="12" t="s">
        <v>44</v>
      </c>
      <c r="B43" s="16" t="n">
        <v>86</v>
      </c>
      <c r="C43" s="16" t="n">
        <v>91.08</v>
      </c>
      <c r="D43" s="16" t="n">
        <v>99.86</v>
      </c>
      <c r="E43" s="16" t="n">
        <v>91.08</v>
      </c>
      <c r="F43" s="16" t="n">
        <v>118.91</v>
      </c>
      <c r="G43" s="22" t="s">
        <v>32</v>
      </c>
      <c r="H43" s="16" t="n">
        <v>131.98</v>
      </c>
      <c r="I43" s="22" t="s">
        <v>32</v>
      </c>
      <c r="J43" s="19"/>
      <c r="K43" s="14"/>
    </row>
    <row r="44" customFormat="false" ht="15.75" hidden="false" customHeight="false" outlineLevel="0" collapsed="false">
      <c r="A44" s="12" t="s">
        <v>45</v>
      </c>
      <c r="B44" s="16" t="n">
        <v>79.53</v>
      </c>
      <c r="C44" s="16" t="n">
        <v>79.53</v>
      </c>
      <c r="D44" s="16" t="n">
        <v>79.53</v>
      </c>
      <c r="E44" s="16" t="n">
        <v>79.53</v>
      </c>
      <c r="F44" s="16" t="n">
        <v>83.51</v>
      </c>
      <c r="G44" s="22" t="s">
        <v>32</v>
      </c>
      <c r="H44" s="16" t="n">
        <v>86.85</v>
      </c>
      <c r="I44" s="22" t="s">
        <v>32</v>
      </c>
      <c r="J44" s="19"/>
      <c r="K44" s="14" t="s">
        <v>46</v>
      </c>
    </row>
    <row r="45" customFormat="false" ht="15.75" hidden="false" customHeight="false" outlineLevel="0" collapsed="false">
      <c r="A45" s="12" t="s">
        <v>47</v>
      </c>
      <c r="B45" s="16" t="n">
        <v>16.72</v>
      </c>
      <c r="C45" s="16" t="n">
        <v>23.07</v>
      </c>
      <c r="D45" s="16" t="n">
        <v>23.07</v>
      </c>
      <c r="E45" s="16" t="n">
        <v>23.07</v>
      </c>
      <c r="F45" s="16" t="n">
        <v>23.07</v>
      </c>
      <c r="G45" s="22" t="s">
        <v>32</v>
      </c>
      <c r="H45" s="16" t="n">
        <v>23.07</v>
      </c>
      <c r="I45" s="22" t="s">
        <v>32</v>
      </c>
      <c r="J45" s="19"/>
      <c r="K45" s="14"/>
    </row>
    <row r="46" customFormat="false" ht="15.75" hidden="false" customHeight="false" outlineLevel="0" collapsed="false">
      <c r="A46" s="12" t="s">
        <v>48</v>
      </c>
      <c r="B46" s="16" t="n">
        <v>25.08</v>
      </c>
      <c r="C46" s="16" t="n">
        <v>34.61</v>
      </c>
      <c r="D46" s="16" t="n">
        <v>34.61</v>
      </c>
      <c r="E46" s="16" t="n">
        <v>34.61</v>
      </c>
      <c r="F46" s="16" t="n">
        <v>34.61</v>
      </c>
      <c r="G46" s="22" t="s">
        <v>32</v>
      </c>
      <c r="H46" s="16" t="n">
        <v>34.61</v>
      </c>
      <c r="I46" s="22" t="s">
        <v>32</v>
      </c>
      <c r="J46" s="19"/>
      <c r="K46" s="14"/>
    </row>
  </sheetData>
  <mergeCells count="12">
    <mergeCell ref="A1:A2"/>
    <mergeCell ref="C1:I1"/>
    <mergeCell ref="C2:I2"/>
    <mergeCell ref="D3:E3"/>
    <mergeCell ref="F3:G3"/>
    <mergeCell ref="H3:I3"/>
    <mergeCell ref="J3:J4"/>
    <mergeCell ref="C32:I32"/>
    <mergeCell ref="D33:E33"/>
    <mergeCell ref="F33:G33"/>
    <mergeCell ref="H33:I33"/>
    <mergeCell ref="J33:J34"/>
  </mergeCells>
  <dataValidations count="1">
    <dataValidation allowBlank="true" operator="between" showDropDown="false" showErrorMessage="false" showInputMessage="false" sqref="C2" type="list">
      <formula1>'4-TARIFS ARBITRAGE'!$M$1:$M$2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5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.75" zeroHeight="false" outlineLevelRow="0" outlineLevelCol="0"/>
  <cols>
    <col collapsed="false" customWidth="true" hidden="false" outlineLevel="0" max="1" min="1" style="0" width="112.96"/>
    <col collapsed="false" customWidth="true" hidden="false" outlineLevel="0" max="3" min="2" style="0" width="21.82"/>
    <col collapsed="false" customWidth="true" hidden="false" outlineLevel="0" max="4" min="4" style="0" width="21.67"/>
    <col collapsed="false" customWidth="true" hidden="true" outlineLevel="0" max="5" min="5" style="0" width="20.14"/>
    <col collapsed="false" customWidth="true" hidden="false" outlineLevel="0" max="6" min="6" style="0" width="20.14"/>
    <col collapsed="false" customWidth="true" hidden="true" outlineLevel="0" max="7" min="7" style="0" width="20.14"/>
    <col collapsed="false" customWidth="true" hidden="false" outlineLevel="0" max="8" min="8" style="0" width="20.14"/>
    <col collapsed="false" customWidth="true" hidden="true" outlineLevel="0" max="9" min="9" style="0" width="20.14"/>
    <col collapsed="false" customWidth="true" hidden="false" outlineLevel="0" max="10" min="10" style="0" width="20.14"/>
    <col collapsed="false" customWidth="true" hidden="true" outlineLevel="0" max="11" min="11" style="0" width="20.14"/>
    <col collapsed="false" customWidth="true" hidden="false" outlineLevel="0" max="12" min="12" style="0" width="20.3"/>
    <col collapsed="false" customWidth="true" hidden="false" outlineLevel="0" max="13" min="13" style="0" width="14.43"/>
    <col collapsed="false" customWidth="true" hidden="false" outlineLevel="0" max="14" min="14" style="0" width="16.29"/>
    <col collapsed="false" customWidth="true" hidden="false" outlineLevel="0" max="15" min="15" style="0" width="32.14"/>
    <col collapsed="false" customWidth="true" hidden="false" outlineLevel="0" max="16" min="16" style="0" width="15"/>
    <col collapsed="false" customWidth="true" hidden="false" outlineLevel="0" max="1025" min="17" style="0" width="14.43"/>
  </cols>
  <sheetData>
    <row r="1" customFormat="false" ht="13.8" hidden="false" customHeight="false" outlineLevel="0" collapsed="false">
      <c r="A1" s="25" t="s">
        <v>49</v>
      </c>
      <c r="B1" s="26" t="s">
        <v>50</v>
      </c>
      <c r="C1" s="26"/>
      <c r="D1" s="26"/>
      <c r="E1" s="26"/>
      <c r="F1" s="26"/>
      <c r="G1" s="26"/>
      <c r="H1" s="26"/>
      <c r="I1" s="26"/>
      <c r="J1" s="26"/>
      <c r="K1" s="10"/>
      <c r="L1" s="23"/>
    </row>
    <row r="2" customFormat="false" ht="64.45" hidden="false" customHeight="true" outlineLevel="0" collapsed="false">
      <c r="A2" s="27" t="s">
        <v>51</v>
      </c>
      <c r="B2" s="27"/>
      <c r="C2" s="28" t="s">
        <v>52</v>
      </c>
      <c r="D2" s="29" t="s">
        <v>53</v>
      </c>
      <c r="E2" s="29"/>
      <c r="F2" s="29" t="s">
        <v>53</v>
      </c>
      <c r="G2" s="29"/>
      <c r="H2" s="29" t="s">
        <v>53</v>
      </c>
      <c r="I2" s="29"/>
      <c r="J2" s="29" t="s">
        <v>53</v>
      </c>
      <c r="K2" s="30"/>
      <c r="L2" s="31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customFormat="false" ht="13.8" hidden="false" customHeight="false" outlineLevel="0" collapsed="false">
      <c r="A3" s="33" t="s">
        <v>54</v>
      </c>
      <c r="B3" s="34" t="s">
        <v>55</v>
      </c>
      <c r="C3" s="35" t="s">
        <v>56</v>
      </c>
      <c r="D3" s="36" t="s">
        <v>57</v>
      </c>
      <c r="E3" s="37"/>
      <c r="F3" s="38" t="s">
        <v>58</v>
      </c>
      <c r="G3" s="38"/>
      <c r="H3" s="38" t="s">
        <v>58</v>
      </c>
      <c r="I3" s="38"/>
      <c r="J3" s="38" t="s">
        <v>58</v>
      </c>
      <c r="K3" s="38"/>
      <c r="N3" s="39" t="s">
        <v>59</v>
      </c>
      <c r="O3" s="39" t="s">
        <v>52</v>
      </c>
      <c r="P3" s="40" t="s">
        <v>56</v>
      </c>
    </row>
    <row r="4" customFormat="false" ht="13.8" hidden="false" customHeight="false" outlineLevel="0" collapsed="false">
      <c r="A4" s="33" t="s">
        <v>60</v>
      </c>
      <c r="B4" s="34"/>
      <c r="C4" s="35"/>
      <c r="D4" s="41" t="s">
        <v>61</v>
      </c>
      <c r="E4" s="42"/>
      <c r="F4" s="38" t="s">
        <v>58</v>
      </c>
      <c r="G4" s="38"/>
      <c r="H4" s="38" t="s">
        <v>58</v>
      </c>
      <c r="I4" s="38"/>
      <c r="J4" s="38" t="s">
        <v>58</v>
      </c>
      <c r="K4" s="43"/>
      <c r="L4" s="44"/>
      <c r="N4" s="39" t="s">
        <v>58</v>
      </c>
      <c r="O4" s="39" t="s">
        <v>62</v>
      </c>
      <c r="P4" s="40" t="s">
        <v>63</v>
      </c>
    </row>
    <row r="5" customFormat="false" ht="25.45" hidden="false" customHeight="true" outlineLevel="0" collapsed="false">
      <c r="A5" s="45" t="str">
        <f aca="false">IF(M45&lt;0,CONCATENATE("Soit ",ROUND(M45,0)," € de CA par an, en moyenne sur 4 ans (2018 à 2021) par rapport à 2017"),CONCATENATE("Soit +",ROUND(M45,0)," € de CA par an, en moyenne sur 4 ans (2018 à 2021) par rapport à 2017"))</f>
        <v>Soit -9337 € de CA par an, en moyenne sur 4 ans (2018 à 2021) par rapport à 2017</v>
      </c>
      <c r="B5" s="46" t="s">
        <v>64</v>
      </c>
      <c r="C5" s="46" t="s">
        <v>64</v>
      </c>
      <c r="D5" s="47" t="n">
        <v>2018</v>
      </c>
      <c r="E5" s="48"/>
      <c r="F5" s="48" t="n">
        <v>2019</v>
      </c>
      <c r="G5" s="48"/>
      <c r="H5" s="48" t="n">
        <v>2020</v>
      </c>
      <c r="I5" s="48"/>
      <c r="J5" s="48" t="n">
        <v>2021</v>
      </c>
      <c r="K5" s="48"/>
      <c r="L5" s="49" t="s">
        <v>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customFormat="false" ht="13.8" hidden="false" customHeight="false" outlineLevel="0" collapsed="false">
      <c r="A6" s="50" t="s">
        <v>3</v>
      </c>
      <c r="B6" s="51" t="s">
        <v>66</v>
      </c>
      <c r="C6" s="51" t="s">
        <v>67</v>
      </c>
      <c r="D6" s="52" t="s">
        <v>34</v>
      </c>
      <c r="E6" s="52"/>
      <c r="F6" s="52" t="s">
        <v>34</v>
      </c>
      <c r="G6" s="52"/>
      <c r="H6" s="52" t="s">
        <v>34</v>
      </c>
      <c r="I6" s="52"/>
      <c r="J6" s="52" t="s">
        <v>34</v>
      </c>
      <c r="K6" s="53"/>
      <c r="L6" s="49"/>
    </row>
    <row r="7" customFormat="false" ht="13.8" hidden="false" customHeight="false" outlineLevel="0" collapsed="false">
      <c r="A7" s="54" t="str">
        <f aca="false">'4-TARIFS ARBITRAGE'!A34</f>
        <v>HBLD007 - TFM Tenon Faux Moignon sans clavette</v>
      </c>
      <c r="B7" s="55" t="n">
        <v>73</v>
      </c>
      <c r="C7" s="56" t="n">
        <v>280</v>
      </c>
      <c r="D7" s="57" t="n">
        <f aca="false">IF($C$2="Province",'4-TARIFS ARBITRAGE'!$C4,'4-TARIFS ARBITRAGE'!$C34)</f>
        <v>250</v>
      </c>
      <c r="E7" s="57" t="n">
        <f aca="false">IF($C$3="Tarifs personnels",IF($C7&lt;D7,0,(D7-$C7)*$B7),(D7-$C7)*$B7)</f>
        <v>-2190</v>
      </c>
      <c r="F7" s="57" t="n">
        <f aca="false">IF($C$2="Province",IF(F$3="N-1 Respectée",'4-TARIFS ARBITRAGE'!$D4,'4-TARIFS ARBITRAGE'!$E4),IF(F$3="N-1 Non respectée",'4-TARIFS ARBITRAGE'!$E34,'4-TARIFS ARBITRAGE'!$D34))</f>
        <v>202</v>
      </c>
      <c r="G7" s="57" t="n">
        <f aca="false">IF($C$3="Tarifs personnels",IF($C7&lt;F7,0,(F7-$C7)*$B7),(F7-$C7)*$B7)</f>
        <v>-5694</v>
      </c>
      <c r="H7" s="57" t="n">
        <f aca="false">IF($C$2="Province",IF(H$3="N-1 Respectée",'4-TARIFS ARBITRAGE'!$F4,'4-TARIFS ARBITRAGE'!$G4),IF(H$3="N-1 Non respectée",'4-TARIFS ARBITRAGE'!$G34,'4-TARIFS ARBITRAGE'!$F34))</f>
        <v>182</v>
      </c>
      <c r="I7" s="57" t="n">
        <f aca="false">IF($C$3="Tarifs personnels",IF($C7&lt;H7,0,(H7-$C7)*$B7),(H7-$C7)*$B7)</f>
        <v>-7154</v>
      </c>
      <c r="J7" s="57" t="n">
        <f aca="false">IF($C$2="Province",IF(J$3="N-1 Respectée",'4-TARIFS ARBITRAGE'!$H4,'4-TARIFS ARBITRAGE'!$I4),IF(J$3="N-1 Non respectée",'4-TARIFS ARBITRAGE'!$I34,'4-TARIFS ARBITRAGE'!$H34))</f>
        <v>182</v>
      </c>
      <c r="K7" s="57" t="n">
        <f aca="false">IF($C$3="Tarifs personnels",IF($C7&lt;J7,0,(J7-$C7)*$B7),(J7-$C7)*$B7)</f>
        <v>-7154</v>
      </c>
      <c r="L7" s="58"/>
    </row>
    <row r="8" customFormat="false" ht="13.8" hidden="false" customHeight="false" outlineLevel="0" collapsed="false">
      <c r="A8" s="54" t="str">
        <f aca="false">'4-TARIFS ARBITRAGE'!A35</f>
        <v>HBLD261 - TFM Tenon Faux Moignon avec clavette</v>
      </c>
      <c r="B8" s="55" t="n">
        <v>0</v>
      </c>
      <c r="C8" s="56" t="n">
        <v>300</v>
      </c>
      <c r="D8" s="57" t="n">
        <f aca="false">IF($C$2="Province",'4-TARIFS ARBITRAGE'!$C5,'4-TARIFS ARBITRAGE'!$C35)</f>
        <v>280</v>
      </c>
      <c r="E8" s="57" t="n">
        <f aca="false">IF($C$3="Tarifs personnels",IF($C8&lt;D8,0,(D8-$C8)*$B8),(D8-$C8)*$B8)</f>
        <v>-0</v>
      </c>
      <c r="F8" s="57" t="n">
        <f aca="false">IF($C$2="Province",IF(F$3="N-1 Respectée",'4-TARIFS ARBITRAGE'!$D5,'4-TARIFS ARBITRAGE'!$E5),IF(F$3="N-1 Non respectée",'4-TARIFS ARBITRAGE'!$E35,'4-TARIFS ARBITRAGE'!$D35))</f>
        <v>230</v>
      </c>
      <c r="G8" s="57" t="n">
        <f aca="false">IF($C$3="Tarifs personnels",IF($C8&lt;F8,0,(F8-$C8)*$B8),(F8-$C8)*$B8)</f>
        <v>-0</v>
      </c>
      <c r="H8" s="57" t="n">
        <f aca="false">IF($C$2="Province",IF(H$3="N-1 Respectée",'4-TARIFS ARBITRAGE'!$F5,'4-TARIFS ARBITRAGE'!$G5),IF(H$3="N-1 Non respectée",'4-TARIFS ARBITRAGE'!$G35,'4-TARIFS ARBITRAGE'!$F35))</f>
        <v>187</v>
      </c>
      <c r="I8" s="57" t="n">
        <f aca="false">IF($C$3="Tarifs personnels",IF($C8&lt;H8,0,(H8-$C8)*$B8),(H8-$C8)*$B8)</f>
        <v>-0</v>
      </c>
      <c r="J8" s="57" t="n">
        <f aca="false">IF($C$2="Province",IF(J$3="N-1 Respectée",'4-TARIFS ARBITRAGE'!$H5,'4-TARIFS ARBITRAGE'!$I5),IF(J$3="N-1 Non respectée",'4-TARIFS ARBITRAGE'!$I35,'4-TARIFS ARBITRAGE'!$H35))</f>
        <v>187</v>
      </c>
      <c r="K8" s="57" t="n">
        <f aca="false">IF($C$3="Tarifs personnels",IF($C8&lt;J8,0,(J8-$C8)*$B8),(J8-$C8)*$B8)</f>
        <v>-0</v>
      </c>
      <c r="L8" s="58"/>
    </row>
    <row r="9" customFormat="false" ht="13.8" hidden="false" customHeight="false" outlineLevel="0" collapsed="false">
      <c r="A9" s="54" t="str">
        <f aca="false">'4-TARIFS ARBITRAGE'!A36</f>
        <v>HBLD037 - Couronne Provisoire</v>
      </c>
      <c r="B9" s="55" t="n">
        <v>50</v>
      </c>
      <c r="C9" s="56" t="n">
        <v>50</v>
      </c>
      <c r="D9" s="57" t="n">
        <f aca="false">IF($C$2="Province",'4-TARIFS ARBITRAGE'!$C6,'4-TARIFS ARBITRAGE'!$C36)</f>
        <v>60</v>
      </c>
      <c r="E9" s="57" t="n">
        <f aca="false">IF($C$3="Tarifs personnels",IF($C9&lt;D9,0,(D9-$C9)*$B9),(D9-$C9)*$B9)</f>
        <v>0</v>
      </c>
      <c r="F9" s="57" t="n">
        <f aca="false">IF($C$2="Province",IF(F$3="N-1 Respectée",'4-TARIFS ARBITRAGE'!$D6,'4-TARIFS ARBITRAGE'!$E6),IF(F$3="N-1 Non respectée",'4-TARIFS ARBITRAGE'!$E36,'4-TARIFS ARBITRAGE'!$D36))</f>
        <v>58</v>
      </c>
      <c r="G9" s="57" t="n">
        <f aca="false">IF($C$3="Tarifs personnels",IF($C9&lt;F9,0,(F9-$C9)*$B9),(F9-$C9)*$B9)</f>
        <v>0</v>
      </c>
      <c r="H9" s="57" t="n">
        <f aca="false">IF($C$2="Province",IF(H$3="N-1 Respectée",'4-TARIFS ARBITRAGE'!$F6,'4-TARIFS ARBITRAGE'!$G6),IF(H$3="N-1 Non respectée",'4-TARIFS ARBITRAGE'!$G36,'4-TARIFS ARBITRAGE'!$F36))</f>
        <v>58</v>
      </c>
      <c r="I9" s="57" t="n">
        <f aca="false">IF($C$3="Tarifs personnels",IF($C9&lt;H9,0,(H9-$C9)*$B9),(H9-$C9)*$B9)</f>
        <v>0</v>
      </c>
      <c r="J9" s="57" t="n">
        <f aca="false">IF($C$2="Province",IF(J$3="N-1 Respectée",'4-TARIFS ARBITRAGE'!$H6,'4-TARIFS ARBITRAGE'!$I6),IF(J$3="N-1 Non respectée",'4-TARIFS ARBITRAGE'!$I36,'4-TARIFS ARBITRAGE'!$H36))</f>
        <v>58</v>
      </c>
      <c r="K9" s="57" t="n">
        <f aca="false">IF($C$3="Tarifs personnels",IF($C9&lt;J9,0,(J9-$C9)*$B9),(J9-$C9)*$B9)</f>
        <v>0</v>
      </c>
      <c r="L9" s="58"/>
    </row>
    <row r="10" customFormat="false" ht="13.8" hidden="false" customHeight="false" outlineLevel="0" collapsed="false">
      <c r="A10" s="54" t="str">
        <f aca="false">'4-TARIFS ARBITRAGE'!A37</f>
        <v>HBLD038 - CM Couronne Métallique</v>
      </c>
      <c r="B10" s="55" t="n">
        <v>8</v>
      </c>
      <c r="C10" s="56" t="n">
        <v>400</v>
      </c>
      <c r="D10" s="57" t="n">
        <f aca="false">IF($C$2="Province",'4-TARIFS ARBITRAGE'!$C7,'4-TARIFS ARBITRAGE'!$C37)</f>
        <v>350</v>
      </c>
      <c r="E10" s="57" t="n">
        <f aca="false">IF($C$3="Tarifs personnels",IF($C10&lt;D10,0,(D10-$C10)*$B10),(D10-$C10)*$B10)</f>
        <v>-400</v>
      </c>
      <c r="F10" s="57" t="n">
        <f aca="false">IF($C$2="Province",IF(F$3="N-1 Respectée",'4-TARIFS ARBITRAGE'!$D7,'4-TARIFS ARBITRAGE'!$E7),IF(F$3="N-1 Non respectée",'4-TARIFS ARBITRAGE'!$E37,'4-TARIFS ARBITRAGE'!$D37))</f>
        <v>307</v>
      </c>
      <c r="G10" s="57" t="n">
        <f aca="false">IF($C$3="Tarifs personnels",IF($C10&lt;F10,0,(F10-$C10)*$B10),(F10-$C10)*$B10)</f>
        <v>-744</v>
      </c>
      <c r="H10" s="57" t="n">
        <f aca="false">IF($C$2="Province",IF(H$3="N-1 Respectée",'4-TARIFS ARBITRAGE'!$F7,'4-TARIFS ARBITRAGE'!$G7),IF(H$3="N-1 Non respectée",'4-TARIFS ARBITRAGE'!$G37,'4-TARIFS ARBITRAGE'!$F37))</f>
        <v>288</v>
      </c>
      <c r="I10" s="57" t="n">
        <f aca="false">IF($C$3="Tarifs personnels",IF($C10&lt;H10,0,(H10-$C10)*$B10),(H10-$C10)*$B10)</f>
        <v>-896</v>
      </c>
      <c r="J10" s="57" t="n">
        <f aca="false">IF($C$2="Province",IF(J$3="N-1 Respectée",'4-TARIFS ARBITRAGE'!$H7,'4-TARIFS ARBITRAGE'!$I7),IF(J$3="N-1 Non respectée",'4-TARIFS ARBITRAGE'!$I37,'4-TARIFS ARBITRAGE'!$H37))</f>
        <v>278</v>
      </c>
      <c r="K10" s="57" t="n">
        <f aca="false">IF($C$3="Tarifs personnels",IF($C10&lt;J10,0,(J10-$C10)*$B10),(J10-$C10)*$B10)</f>
        <v>-976</v>
      </c>
      <c r="L10" s="58"/>
    </row>
    <row r="11" customFormat="false" ht="13.8" hidden="false" customHeight="false" outlineLevel="0" collapsed="false">
      <c r="A11" s="54" t="str">
        <f aca="false">'4-TARIFS ARBITRAGE'!A38</f>
        <v>HBLD036 - CCM Couronne Céramo-Métallique</v>
      </c>
      <c r="B11" s="55" t="n">
        <v>91</v>
      </c>
      <c r="C11" s="56" t="n">
        <v>560</v>
      </c>
      <c r="D11" s="57" t="n">
        <f aca="false">IF($C$2="Province",'4-TARIFS ARBITRAGE'!$C8,'4-TARIFS ARBITRAGE'!$C38)</f>
        <v>550</v>
      </c>
      <c r="E11" s="57" t="n">
        <f aca="false">IF($C$3="Tarifs personnels",IF($C11&lt;D11,0,(D11-$C11)*$B11),(D11-$C11)*$B11)</f>
        <v>-910</v>
      </c>
      <c r="F11" s="57" t="n">
        <f aca="false">IF($C$2="Province",IF(F$3="N-1 Respectée",'4-TARIFS ARBITRAGE'!$D8,'4-TARIFS ARBITRAGE'!$E8),IF(F$3="N-1 Non respectée",'4-TARIFS ARBITRAGE'!$E38,'4-TARIFS ARBITRAGE'!$D38))</f>
        <v>509</v>
      </c>
      <c r="G11" s="57" t="n">
        <f aca="false">IF($C$3="Tarifs personnels",IF($C11&lt;F11,0,(F11-$C11)*$B11),(F11-$C11)*$B11)</f>
        <v>-4641</v>
      </c>
      <c r="H11" s="57" t="n">
        <f aca="false">IF($C$2="Province",IF(H$3="N-1 Respectée",'4-TARIFS ARBITRAGE'!$F8,'4-TARIFS ARBITRAGE'!$G8),IF(H$3="N-1 Non respectée",'4-TARIFS ARBITRAGE'!$G38,'4-TARIFS ARBITRAGE'!$F38))</f>
        <v>490</v>
      </c>
      <c r="I11" s="57" t="n">
        <f aca="false">IF($C$3="Tarifs personnels",IF($C11&lt;H11,0,(H11-$C11)*$B11),(H11-$C11)*$B11)</f>
        <v>-6370</v>
      </c>
      <c r="J11" s="57" t="n">
        <f aca="false">IF($C$2="Province",IF(J$3="N-1 Respectée",'4-TARIFS ARBITRAGE'!$H8,'4-TARIFS ARBITRAGE'!$I8),IF(J$3="N-1 Non respectée",'4-TARIFS ARBITRAGE'!$I38,'4-TARIFS ARBITRAGE'!$H38))</f>
        <v>490</v>
      </c>
      <c r="K11" s="57" t="n">
        <f aca="false">IF($C$3="Tarifs personnels",IF($C11&lt;J11,0,(J11-$C11)*$B11),(J11-$C11)*$B11)</f>
        <v>-6370</v>
      </c>
      <c r="L11" s="58"/>
    </row>
    <row r="12" customFormat="false" ht="13.8" hidden="false" customHeight="false" outlineLevel="0" collapsed="false">
      <c r="A12" s="54" t="str">
        <f aca="false">'4-TARIFS ARBITRAGE'!A39</f>
        <v>CCAM ? - CCC Couronne Céramo-Céramique</v>
      </c>
      <c r="B12" s="55" t="n">
        <v>0</v>
      </c>
      <c r="C12" s="56" t="n">
        <v>600</v>
      </c>
      <c r="D12" s="57" t="n">
        <f aca="false">IF($C$2="Province",'4-TARIFS ARBITRAGE'!$C9,'4-TARIFS ARBITRAGE'!$C39)</f>
        <v>590</v>
      </c>
      <c r="E12" s="57" t="n">
        <f aca="false">IF($C$3="Tarifs personnels",IF($C12&lt;D12,0,(D12-$C12)*$B12),(D12-$C12)*$B12)</f>
        <v>-0</v>
      </c>
      <c r="F12" s="57" t="n">
        <f aca="false">IF($C$2="Province",IF(F$3="N-1 Respectée",'4-TARIFS ARBITRAGE'!$D9,'4-TARIFS ARBITRAGE'!$E9),IF(F$3="N-1 Non respectée",'4-TARIFS ARBITRAGE'!$E39,'4-TARIFS ARBITRAGE'!$D39))</f>
        <v>570</v>
      </c>
      <c r="G12" s="57" t="n">
        <f aca="false">IF($C$3="Tarifs personnels",IF($C12&lt;F12,0,(F12-$C12)*$B12),(F12-$C12)*$B12)</f>
        <v>-0</v>
      </c>
      <c r="H12" s="57" t="n">
        <f aca="false">IF($C$2="Province",IF(H$3="N-1 Respectée",'4-TARIFS ARBITRAGE'!$F9,'4-TARIFS ARBITRAGE'!$G9),IF(H$3="N-1 Non respectée",'4-TARIFS ARBITRAGE'!$G39,'4-TARIFS ARBITRAGE'!$F39))</f>
        <v>550</v>
      </c>
      <c r="I12" s="57" t="n">
        <f aca="false">IF($C$3="Tarifs personnels",IF($C12&lt;H12,0,(H12-$C12)*$B12),(H12-$C12)*$B12)</f>
        <v>-0</v>
      </c>
      <c r="J12" s="57" t="n">
        <f aca="false">IF($C$2="Province",IF(J$3="N-1 Respectée",'4-TARIFS ARBITRAGE'!$H9,'4-TARIFS ARBITRAGE'!$I9),IF(J$3="N-1 Non respectée",'4-TARIFS ARBITRAGE'!$I39,'4-TARIFS ARBITRAGE'!$H39))</f>
        <v>550</v>
      </c>
      <c r="K12" s="57" t="n">
        <f aca="false">IF($C$3="Tarifs personnels",IF($C12&lt;J12,0,(J12-$C12)*$B12),(J12-$C12)*$B12)</f>
        <v>-0</v>
      </c>
      <c r="L12" s="59"/>
    </row>
    <row r="13" customFormat="false" ht="13.8" hidden="false" customHeight="false" outlineLevel="0" collapsed="false">
      <c r="A13" s="54" t="str">
        <f aca="false">'4-TARIFS ARBITRAGE'!A40</f>
        <v>HBMD055 - Inlay-Onlay 3 faces</v>
      </c>
      <c r="B13" s="55" t="n">
        <v>3</v>
      </c>
      <c r="C13" s="56" t="n">
        <v>350</v>
      </c>
      <c r="D13" s="57" t="n">
        <f aca="false">C13</f>
        <v>350</v>
      </c>
      <c r="E13" s="57" t="n">
        <f aca="false">IF($C$3="Tarifs personnels",IF($C13&lt;D13,0,(D13-$C13)*$B13),(D13-$C13)*$B13)</f>
        <v>0</v>
      </c>
      <c r="F13" s="57" t="n">
        <f aca="false">IF($C$2="Province",IF(F$3="N-1 Respectée",'4-TARIFS ARBITRAGE'!$D10,'4-TARIFS ARBITRAGE'!$E10),IF(F$3="N-1 Non respectée",'4-TARIFS ARBITRAGE'!$E40,'4-TARIFS ARBITRAGE'!$D40))</f>
        <v>283</v>
      </c>
      <c r="G13" s="57" t="n">
        <f aca="false">IF($C$3="Tarifs personnels",IF($C13&lt;F13,0,(F13-$C13)*$B13),(F13-$C13)*$B13)</f>
        <v>-201</v>
      </c>
      <c r="H13" s="57" t="n">
        <f aca="false">IF($C$2="Province",IF(H$3="N-1 Respectée",'4-TARIFS ARBITRAGE'!$F10,'4-TARIFS ARBITRAGE'!$G10),IF(H$3="N-1 Non respectée",'4-TARIFS ARBITRAGE'!$G40,'4-TARIFS ARBITRAGE'!$F40))</f>
        <v>283</v>
      </c>
      <c r="I13" s="57" t="n">
        <f aca="false">IF($C$3="Tarifs personnels",IF($C13&lt;H13,0,(H13-$C13)*$B13),(H13-$C13)*$B13)</f>
        <v>-201</v>
      </c>
      <c r="J13" s="57" t="n">
        <f aca="false">IF($C$2="Province",IF(J$3="N-1 Respectée",'4-TARIFS ARBITRAGE'!$H10,'4-TARIFS ARBITRAGE'!$I10),IF(J$3="N-1 Non respectée",'4-TARIFS ARBITRAGE'!$I40,'4-TARIFS ARBITRAGE'!$H40))</f>
        <v>283</v>
      </c>
      <c r="K13" s="57" t="n">
        <f aca="false">IF($C$3="Tarifs personnels",IF($C13&lt;J13,0,(J13-$C13)*$B13),(J13-$C13)*$B13)</f>
        <v>-201</v>
      </c>
      <c r="L13" s="59"/>
    </row>
    <row r="14" customFormat="false" ht="13.8" hidden="false" customHeight="false" outlineLevel="0" collapsed="false">
      <c r="A14" s="54" t="str">
        <f aca="false">'4-TARIFS ARBITRAGE'!A41</f>
        <v>HBLD023 - Bridge 3 CCM</v>
      </c>
      <c r="B14" s="55" t="n">
        <v>4</v>
      </c>
      <c r="C14" s="60" t="n">
        <f aca="false">C11*3</f>
        <v>1680</v>
      </c>
      <c r="D14" s="61" t="n">
        <f aca="false">IF($C$3="Tarifs personnels",IF($C11&lt;D11,$C11*3,D11*3),D11*3)</f>
        <v>1650</v>
      </c>
      <c r="E14" s="61" t="n">
        <f aca="false">IF($C$3="Tarifs personnels",IF($C14&lt;D14,0,(D14-$C14)*$B14),(D14-$C14)*$B14)</f>
        <v>-120</v>
      </c>
      <c r="F14" s="61" t="n">
        <f aca="false">IF($C$3="Tarifs personnels",IF($C11&lt;F11,$C11*3,F11*3),F11*3)</f>
        <v>1527</v>
      </c>
      <c r="G14" s="57" t="n">
        <f aca="false">IF($C$3="Tarifs personnels",IF($C14&lt;F14,0,(F14-$C14)*$B14),(F14-$C14)*$B14)</f>
        <v>-612</v>
      </c>
      <c r="H14" s="57" t="n">
        <f aca="false">IF($C$2="Province",IF(H$3="N-1 Respectée",'4-TARIFS ARBITRAGE'!$F11,'4-TARIFS ARBITRAGE'!$G11),IF(H$3="N-1 Non respectée",'4-TARIFS ARBITRAGE'!$G41,'4-TARIFS ARBITRAGE'!$F41))</f>
        <v>1555</v>
      </c>
      <c r="I14" s="57" t="n">
        <f aca="false">IF($C$3="Tarifs personnels",IF($C14&lt;H14,0,(H14-$C14)*$B14),(H14-$C14)*$B14)</f>
        <v>-500</v>
      </c>
      <c r="J14" s="57" t="n">
        <f aca="false">IF($C$2="Province",IF(J$3="N-1 Respectée",'4-TARIFS ARBITRAGE'!$H11,'4-TARIFS ARBITRAGE'!$I11),IF(J$3="N-1 Non respectée",'4-TARIFS ARBITRAGE'!$I41,'4-TARIFS ARBITRAGE'!$H41))</f>
        <v>1392</v>
      </c>
      <c r="K14" s="57" t="n">
        <f aca="false">IF($C$3="Tarifs personnels",IF($C14&lt;J14,0,(J14-$C14)*$B14),(J14-$C14)*$B14)</f>
        <v>-1152</v>
      </c>
      <c r="L14" s="59"/>
    </row>
    <row r="15" customFormat="false" ht="13.8" hidden="false" customHeight="false" outlineLevel="0" collapsed="false">
      <c r="A15" s="54" t="str">
        <f aca="false">'4-TARIFS ARBITRAGE'!A43</f>
        <v>HBLD043 - Bridge 2 CCM + 1 CM</v>
      </c>
      <c r="B15" s="55" t="n">
        <v>0</v>
      </c>
      <c r="C15" s="60" t="n">
        <f aca="false">C11*2+C10</f>
        <v>1520</v>
      </c>
      <c r="D15" s="61" t="n">
        <f aca="false">IF($C$3="Tarifs personnels",IF($C11&lt;D11,($C11*2)+IF($C10&lt;D10,$C10,D10),(D11*2)+IF($C10&lt;D10,$C10,D10)),(D11*2)+D10)</f>
        <v>1450</v>
      </c>
      <c r="E15" s="61" t="n">
        <f aca="false">IF($C$3="Tarifs personnels",IF($C15&lt;D15,0,(D15-$C15)*$B15),(D15-$C15)*$B15)</f>
        <v>-0</v>
      </c>
      <c r="F15" s="61" t="n">
        <f aca="false">IF($C$3="Tarifs personnels",IF($C11&lt;F11,($C11*2)+IF($C10&lt;F10,$C10,F10),(F11*2)+IF($C10&lt;F10,$C10,F10)),(F11*2)+F10)</f>
        <v>1325</v>
      </c>
      <c r="G15" s="57" t="n">
        <f aca="false">IF($C$3="Tarifs personnels",IF($C15&lt;F15,0,(F15-$C15)*$B15),(F15-$C15)*$B15)</f>
        <v>-0</v>
      </c>
      <c r="H15" s="57" t="n">
        <f aca="false">IF($C$2="Province",IF(H$3="N-1 Respectée",'4-TARIFS ARBITRAGE'!$F13,'4-TARIFS ARBITRAGE'!$G13),IF(H$3="N-1 Non respectée",'4-TARIFS ARBITRAGE'!$G43,'4-TARIFS ARBITRAGE'!$F43))</f>
        <v>1344</v>
      </c>
      <c r="I15" s="57" t="n">
        <f aca="false">IF($C$3="Tarifs personnels",IF($C15&lt;H15,0,(H15-$C15)*$B15),(H15-$C15)*$B15)</f>
        <v>-0</v>
      </c>
      <c r="J15" s="57" t="n">
        <f aca="false">IF($C$2="Province",IF(J$3="N-1 Respectée",'4-TARIFS ARBITRAGE'!$H13,'4-TARIFS ARBITRAGE'!$I13),IF(J$3="N-1 Non respectée",'4-TARIFS ARBITRAGE'!$I43,'4-TARIFS ARBITRAGE'!$H43))</f>
        <v>1210</v>
      </c>
      <c r="K15" s="57" t="n">
        <f aca="false">IF($C$3="Tarifs personnels",IF($C15&lt;J15,0,(J15-$C15)*$B15),(J15-$C15)*$B15)</f>
        <v>-0</v>
      </c>
      <c r="L15" s="59"/>
    </row>
    <row r="16" customFormat="false" ht="13.8" hidden="false" customHeight="false" outlineLevel="0" collapsed="false">
      <c r="A16" s="54" t="str">
        <f aca="false">'4-TARIFS ARBITRAGE'!A45</f>
        <v>HBLD040 - Bridge 1 CCM + 2 CM</v>
      </c>
      <c r="B16" s="55" t="n">
        <v>0</v>
      </c>
      <c r="C16" s="60" t="n">
        <f aca="false">C11+C10*2</f>
        <v>1360</v>
      </c>
      <c r="D16" s="61" t="n">
        <f aca="false">IF($C$3="Tarifs personnels",IF($C11&lt;D11,$C11+IF($C10&lt;D10,$C10*2,D10*2),D11+IF($C10&lt;D10,$C10*2,D10*2)),D11+(D10*2))</f>
        <v>1250</v>
      </c>
      <c r="E16" s="61" t="n">
        <f aca="false">IF($C$3="Tarifs personnels",IF($C16&lt;D16,0,(D16-$C16)*$B16),(D16-$C16)*$B16)</f>
        <v>-0</v>
      </c>
      <c r="F16" s="61" t="n">
        <f aca="false">IF($C$3="Tarifs personnels",IF($C11&lt;F11,$C11+IF($C10&lt;F10,$C10*2,F10*2),F11+IF($C10&lt;F10,$C10*2,F10*2)),F11+(F10*2))</f>
        <v>1123</v>
      </c>
      <c r="G16" s="57" t="n">
        <f aca="false">IF($C$3="Tarifs personnels",IF($C16&lt;F16,0,(F16-$C16)*$B16),(F16-$C16)*$B16)</f>
        <v>-0</v>
      </c>
      <c r="H16" s="57" t="n">
        <f aca="false">IF($C$2="Province",IF(H$3="N-1 Respectée",'4-TARIFS ARBITRAGE'!$F15,'4-TARIFS ARBITRAGE'!$G15),IF(H$3="N-1 Non respectée",'4-TARIFS ARBITRAGE'!$G45,'4-TARIFS ARBITRAGE'!$F45))</f>
        <v>1128</v>
      </c>
      <c r="I16" s="57" t="n">
        <f aca="false">IF($C$3="Tarifs personnels",IF($C16&lt;H16,0,(H16-$C16)*$B16),(H16-$C16)*$B16)</f>
        <v>-0</v>
      </c>
      <c r="J16" s="57" t="n">
        <f aca="false">IF($C$2="Province",IF(J$3="N-1 Respectée",'4-TARIFS ARBITRAGE'!$H15,'4-TARIFS ARBITRAGE'!$I15),IF(J$3="N-1 Non respectée",'4-TARIFS ARBITRAGE'!$I45,'4-TARIFS ARBITRAGE'!$H45))</f>
        <v>1027</v>
      </c>
      <c r="K16" s="57" t="n">
        <f aca="false">IF($C$3="Tarifs personnels",IF($C16&lt;J16,0,(J16-$C16)*$B16),(J16-$C16)*$B16)</f>
        <v>-0</v>
      </c>
      <c r="L16" s="59"/>
    </row>
    <row r="17" customFormat="false" ht="13.8" hidden="false" customHeight="false" outlineLevel="0" collapsed="false">
      <c r="A17" s="54" t="str">
        <f aca="false">'4-TARIFS ARBITRAGE'!A47</f>
        <v>HBLD033 - Bridge 3 CM</v>
      </c>
      <c r="B17" s="55" t="n">
        <v>1</v>
      </c>
      <c r="C17" s="60" t="n">
        <f aca="false">C10*3</f>
        <v>1200</v>
      </c>
      <c r="D17" s="61" t="n">
        <f aca="false">IF($C$3="Tarifs personnels",IF($C10&lt;D10,$C10*3,D10*3),D10*3)</f>
        <v>1050</v>
      </c>
      <c r="E17" s="61" t="n">
        <f aca="false">IF($C$3="Tarifs personnels",IF($C17&lt;D17,0,(D17-$C17)*$B17),(D17-$C17)*$B17)</f>
        <v>-150</v>
      </c>
      <c r="F17" s="61" t="n">
        <f aca="false">IF($C$3="Tarifs personnels",IF($C10&lt;F10,$C10*3,F10*3),F10*3)</f>
        <v>921</v>
      </c>
      <c r="G17" s="57" t="n">
        <f aca="false">IF($C$3="Tarifs personnels",IF($C17&lt;F17,0,(F17-$C17)*$B17),(F17-$C17)*$B17)</f>
        <v>-279</v>
      </c>
      <c r="H17" s="57" t="n">
        <f aca="false">IF($C$2="Province",IF(H$3="N-1 Respectée",'4-TARIFS ARBITRAGE'!$F17,'4-TARIFS ARBITRAGE'!$G17),IF(H$3="N-1 Non respectée",'4-TARIFS ARBITRAGE'!$G47,'4-TARIFS ARBITRAGE'!$F47))</f>
        <v>922</v>
      </c>
      <c r="I17" s="57" t="n">
        <f aca="false">IF($C$3="Tarifs personnels",IF($C17&lt;H17,0,(H17-$C17)*$B17),(H17-$C17)*$B17)</f>
        <v>-278</v>
      </c>
      <c r="J17" s="57" t="n">
        <f aca="false">IF($C$2="Province",IF(J$3="N-1 Respectée",'4-TARIFS ARBITRAGE'!$H17,'4-TARIFS ARBITRAGE'!$I17),IF(J$3="N-1 Non respectée",'4-TARIFS ARBITRAGE'!$I47,'4-TARIFS ARBITRAGE'!$H47))</f>
        <v>821</v>
      </c>
      <c r="K17" s="57" t="n">
        <f aca="false">IF($C$3="Tarifs personnels",IF($C17&lt;J17,0,(J17-$C17)*$B17),(J17-$C17)*$B17)</f>
        <v>-379</v>
      </c>
      <c r="L17" s="59" t="s">
        <v>68</v>
      </c>
    </row>
    <row r="18" customFormat="false" ht="13.8" hidden="false" customHeight="false" outlineLevel="0" collapsed="false">
      <c r="A18" s="54" t="str">
        <f aca="false">'4-TARIFS ARBITRAGE'!A49</f>
        <v>HBMD087 - Pilier de bridge Céramo-Métallique supplémentaire</v>
      </c>
      <c r="B18" s="55" t="n">
        <v>1</v>
      </c>
      <c r="C18" s="60" t="n">
        <f aca="false">C11</f>
        <v>560</v>
      </c>
      <c r="D18" s="61" t="n">
        <f aca="false">IF($C$3="Tarifs personnels",IF($C11&lt;D11,$C11,D11),D11)</f>
        <v>550</v>
      </c>
      <c r="E18" s="61" t="n">
        <f aca="false">IF($C$3="Tarifs personnels",IF($C18&lt;D18,0,(D18-$C18)*$B18),(D18-$C18)*$B18)</f>
        <v>-10</v>
      </c>
      <c r="F18" s="61" t="n">
        <f aca="false">IF($C$3="Tarifs personnels",IF($C11&lt;F11,$C11,F11),F11)</f>
        <v>509</v>
      </c>
      <c r="G18" s="57" t="n">
        <f aca="false">IF($C$3="Tarifs personnels",IF($C18&lt;F18,0,(F18-$C18)*$B18),(F18-$C18)*$B18)</f>
        <v>-51</v>
      </c>
      <c r="H18" s="57" t="n">
        <f aca="false">IF($C$2="Province",IF(H$3="N-1 Respectée",'4-TARIFS ARBITRAGE'!$F19,'4-TARIFS ARBITRAGE'!$G19),IF(H$3="N-1 Non respectée",'4-TARIFS ARBITRAGE'!$G49,'4-TARIFS ARBITRAGE'!$F49))</f>
        <v>528</v>
      </c>
      <c r="I18" s="57" t="n">
        <f aca="false">IF($C$3="Tarifs personnels",IF($C18&lt;H18,0,(H18-$C18)*$B18),(H18-$C18)*$B18)</f>
        <v>-32</v>
      </c>
      <c r="J18" s="57" t="n">
        <f aca="false">IF($C$2="Province",IF(J$3="N-1 Respectée",'4-TARIFS ARBITRAGE'!$H19,'4-TARIFS ARBITRAGE'!$I19),IF(J$3="N-1 Non respectée",'4-TARIFS ARBITRAGE'!$I49,'4-TARIFS ARBITRAGE'!$H49))</f>
        <v>470</v>
      </c>
      <c r="K18" s="57" t="n">
        <f aca="false">IF($C$3="Tarifs personnels",IF($C18&lt;J18,0,(J18-$C18)*$B18),(J18-$C18)*$B18)</f>
        <v>-90</v>
      </c>
      <c r="L18" s="59" t="s">
        <v>69</v>
      </c>
    </row>
    <row r="19" customFormat="false" ht="13.8" hidden="false" customHeight="false" outlineLevel="0" collapsed="false">
      <c r="A19" s="54" t="str">
        <f aca="false">'4-TARIFS ARBITRAGE'!A50</f>
        <v>HBMD081 - Pilier de bridge Métallique supplémentaire</v>
      </c>
      <c r="B19" s="55" t="n">
        <v>0</v>
      </c>
      <c r="C19" s="60" t="n">
        <f aca="false">C10</f>
        <v>400</v>
      </c>
      <c r="D19" s="61" t="n">
        <f aca="false">IF($C$3="Tarifs personnels",IF($C10&lt;D10,$C10,D10),D10)</f>
        <v>350</v>
      </c>
      <c r="E19" s="61" t="n">
        <f aca="false">IF($C$3="Tarifs personnels",IF($C19&lt;D19,0,(D19-$C19)*$B19),(D19-$C19)*$B19)</f>
        <v>-0</v>
      </c>
      <c r="F19" s="61" t="n">
        <f aca="false">IF($C$3="Tarifs personnels",IF($C10&lt;F10,$C10,F10),F10)</f>
        <v>307</v>
      </c>
      <c r="G19" s="57" t="n">
        <f aca="false">IF($C$3="Tarifs personnels",IF($C19&lt;F19,0,(F19-$C19)*$B19),(F19-$C19)*$B19)</f>
        <v>-0</v>
      </c>
      <c r="H19" s="57" t="n">
        <f aca="false">IF($C$2="Province",IF(H$3="N-1 Respectée",'4-TARIFS ARBITRAGE'!$F20,'4-TARIFS ARBITRAGE'!$G20),IF(H$3="N-1 Non respectée",'4-TARIFS ARBITRAGE'!$G50,'4-TARIFS ARBITRAGE'!$F50))</f>
        <v>312</v>
      </c>
      <c r="I19" s="57" t="n">
        <f aca="false">IF($C$3="Tarifs personnels",IF($C19&lt;H19,0,(H19-$C19)*$B19),(H19-$C19)*$B19)</f>
        <v>-0</v>
      </c>
      <c r="J19" s="57" t="n">
        <f aca="false">IF($C$2="Province",IF(J$3="N-1 Respectée",'4-TARIFS ARBITRAGE'!$H20,'4-TARIFS ARBITRAGE'!$I20),IF(J$3="N-1 Non respectée",'4-TARIFS ARBITRAGE'!$I50,'4-TARIFS ARBITRAGE'!$H50))</f>
        <v>278</v>
      </c>
      <c r="K19" s="57" t="n">
        <f aca="false">IF($C$3="Tarifs personnels",IF($C19&lt;J19,0,(J19-$C19)*$B19),(J19-$C19)*$B19)</f>
        <v>-0</v>
      </c>
      <c r="L19" s="59" t="s">
        <v>70</v>
      </c>
    </row>
    <row r="20" customFormat="false" ht="13.8" hidden="false" customHeight="false" outlineLevel="0" collapsed="false">
      <c r="A20" s="54" t="str">
        <f aca="false">'4-TARIFS ARBITRAGE'!A51</f>
        <v>HBMD479 / HBMD433 / HBMD072 - Inter de bridge Céramo-Métallique supplémentaire</v>
      </c>
      <c r="B20" s="55" t="n">
        <v>1</v>
      </c>
      <c r="C20" s="60" t="n">
        <f aca="false">C11</f>
        <v>560</v>
      </c>
      <c r="D20" s="61" t="n">
        <f aca="false">D18</f>
        <v>550</v>
      </c>
      <c r="E20" s="61" t="n">
        <f aca="false">IF($C$3="Tarifs personnels",IF($C20&lt;D20,0,(D20-$C20)*$B20),(D20-$C20)*$B20)</f>
        <v>-10</v>
      </c>
      <c r="F20" s="61" t="n">
        <f aca="false">F18</f>
        <v>509</v>
      </c>
      <c r="G20" s="57" t="n">
        <f aca="false">IF($C$3="Tarifs personnels",IF($C20&lt;F20,0,(F20-$C20)*$B20),(F20-$C20)*$B20)</f>
        <v>-51</v>
      </c>
      <c r="H20" s="57" t="n">
        <f aca="false">IF($C$2="Province",IF(H$3="N-1 Respectée",'4-TARIFS ARBITRAGE'!$F21,'4-TARIFS ARBITRAGE'!$G21),IF(H$3="N-1 Non respectée",'4-TARIFS ARBITRAGE'!$G51,'4-TARIFS ARBITRAGE'!$F51))</f>
        <v>514</v>
      </c>
      <c r="I20" s="57" t="n">
        <f aca="false">IF($C$3="Tarifs personnels",IF($C20&lt;H20,0,(H20-$C20)*$B20),(H20-$C20)*$B20)</f>
        <v>-46</v>
      </c>
      <c r="J20" s="57" t="n">
        <f aca="false">IF($C$2="Province",IF(J$3="N-1 Respectée",'4-TARIFS ARBITRAGE'!$H21,'4-TARIFS ARBITRAGE'!$I21),IF(J$3="N-1 Non respectée",'4-TARIFS ARBITRAGE'!$I51,'4-TARIFS ARBITRAGE'!$H51))</f>
        <v>427</v>
      </c>
      <c r="K20" s="57" t="n">
        <f aca="false">IF($C$3="Tarifs personnels",IF($C20&lt;J20,0,(J20-$C20)*$B20),(J20-$C20)*$B20)</f>
        <v>-133</v>
      </c>
      <c r="L20" s="59" t="s">
        <v>71</v>
      </c>
    </row>
    <row r="21" customFormat="false" ht="13.8" hidden="false" customHeight="false" outlineLevel="0" collapsed="false">
      <c r="A21" s="54" t="str">
        <f aca="false">'4-TARIFS ARBITRAGE'!A52</f>
        <v>HBMD490 / HBMD342 / HBMD082 - Inter de bridge Métallique supplémentaire</v>
      </c>
      <c r="B21" s="55" t="n">
        <v>1</v>
      </c>
      <c r="C21" s="60" t="n">
        <f aca="false">C10</f>
        <v>400</v>
      </c>
      <c r="D21" s="61" t="n">
        <f aca="false">D19</f>
        <v>350</v>
      </c>
      <c r="E21" s="61" t="n">
        <f aca="false">IF($C$3="Tarifs personnels",IF($C21&lt;D21,0,(D21-$C21)*$B21),(D21-$C21)*$B21)</f>
        <v>-50</v>
      </c>
      <c r="F21" s="61" t="n">
        <f aca="false">F19</f>
        <v>307</v>
      </c>
      <c r="G21" s="57" t="n">
        <f aca="false">IF($C$3="Tarifs personnels",IF($C21&lt;F21,0,(F21-$C21)*$B21),(F21-$C21)*$B21)</f>
        <v>-93</v>
      </c>
      <c r="H21" s="57" t="n">
        <f aca="false">IF($C$2="Province",IF(H$3="N-1 Respectée",'4-TARIFS ARBITRAGE'!$F22,'4-TARIFS ARBITRAGE'!$G22),IF(H$3="N-1 Non respectée",'4-TARIFS ARBITRAGE'!$G52,'4-TARIFS ARBITRAGE'!$F52))</f>
        <v>293</v>
      </c>
      <c r="I21" s="57" t="n">
        <f aca="false">IF($C$3="Tarifs personnels",IF($C21&lt;H21,0,(H21-$C21)*$B21),(H21-$C21)*$B21)</f>
        <v>-107</v>
      </c>
      <c r="J21" s="57" t="n">
        <f aca="false">IF($C$2="Province",IF(J$3="N-1 Respectée",'4-TARIFS ARBITRAGE'!$H22,'4-TARIFS ARBITRAGE'!$I22),IF(J$3="N-1 Non respectée",'4-TARIFS ARBITRAGE'!$I52,'4-TARIFS ARBITRAGE'!$H52))</f>
        <v>259</v>
      </c>
      <c r="K21" s="62" t="n">
        <f aca="false">IF($C$3="Tarifs personnels",IF($C21&lt;J21,0,(J21-$C21)*$B21),(J21-$C21)*$B21)</f>
        <v>-141</v>
      </c>
      <c r="L21" s="59" t="s">
        <v>72</v>
      </c>
    </row>
    <row r="22" customFormat="false" ht="13.8" hidden="false" customHeight="false" outlineLevel="0" collapsed="false">
      <c r="A22" s="54" t="str">
        <f aca="false">'4-TARIFS ARBITRAGE'!A53</f>
        <v>HBLD101 - Prothèse amovible résine 9 dents</v>
      </c>
      <c r="B22" s="55" t="n">
        <v>2</v>
      </c>
      <c r="C22" s="56" t="n">
        <v>650</v>
      </c>
      <c r="D22" s="61" t="n">
        <f aca="false">C22</f>
        <v>650</v>
      </c>
      <c r="E22" s="61" t="n">
        <f aca="false">IF($C$3="Tarifs personnels",IF($C22&lt;D22,0,(D22-$C22)*$B22),(D22-$C22)*$B22)</f>
        <v>0</v>
      </c>
      <c r="F22" s="61" t="n">
        <f aca="false">C22</f>
        <v>650</v>
      </c>
      <c r="G22" s="57" t="n">
        <f aca="false">IF($C$3="Tarifs personnels",IF($C22&lt;F22,0,(F22-$C22)*$B22),(F22-$C22)*$B22)</f>
        <v>0</v>
      </c>
      <c r="H22" s="61" t="n">
        <f aca="false">C22</f>
        <v>650</v>
      </c>
      <c r="I22" s="57" t="n">
        <f aca="false">IF($C$3="Tarifs personnels",IF($C22&lt;H22,0,(H22-$C22)*$B22),(H22-$C22)*$B22)</f>
        <v>0</v>
      </c>
      <c r="J22" s="57" t="n">
        <f aca="false">IF($C$2="Province",IF(J$3="N-1 Respectée",'4-TARIFS ARBITRAGE'!$H23,'4-TARIFS ARBITRAGE'!$I23),IF(J$3="N-1 Non respectée",'4-TARIFS ARBITRAGE'!$I53,'4-TARIFS ARBITRAGE'!$H53))</f>
        <v>643</v>
      </c>
      <c r="K22" s="57" t="n">
        <f aca="false">IF($C$3="Tarifs personnels",IF($C22&lt;J22,0,(J22-$C22)*$B22),(J22-$C22)*$B22)</f>
        <v>-14</v>
      </c>
      <c r="L22" s="59" t="s">
        <v>73</v>
      </c>
    </row>
    <row r="23" customFormat="false" ht="13.8" hidden="false" customHeight="false" outlineLevel="0" collapsed="false">
      <c r="A23" s="54" t="str">
        <f aca="false">'4-TARIFS ARBITRAGE'!A54</f>
        <v>HBLD138 - Prothèse amovible résine 10 dents</v>
      </c>
      <c r="B23" s="55" t="n">
        <v>1</v>
      </c>
      <c r="C23" s="56" t="n">
        <v>700</v>
      </c>
      <c r="D23" s="61" t="n">
        <f aca="false">C23</f>
        <v>700</v>
      </c>
      <c r="E23" s="61" t="n">
        <f aca="false">IF($C$3="Tarifs personnels",IF($C23&lt;D23,0,(D23-$C23)*$B23),(D23-$C23)*$B23)</f>
        <v>0</v>
      </c>
      <c r="F23" s="61" t="n">
        <f aca="false">C23</f>
        <v>700</v>
      </c>
      <c r="G23" s="57" t="n">
        <f aca="false">IF($C$3="Tarifs personnels",IF($C23&lt;F23,0,(F23-$C23)*$B23),(F23-$C23)*$B23)</f>
        <v>0</v>
      </c>
      <c r="H23" s="61" t="n">
        <f aca="false">C23</f>
        <v>700</v>
      </c>
      <c r="I23" s="57" t="n">
        <f aca="false">IF($C$3="Tarifs personnels",IF($C23&lt;H23,0,(H23-$C23)*$B23),(H23-$C23)*$B23)</f>
        <v>0</v>
      </c>
      <c r="J23" s="57" t="n">
        <f aca="false">IF($C$2="Province",IF(J$3="N-1 Respectée",'4-TARIFS ARBITRAGE'!$H24,'4-TARIFS ARBITRAGE'!$I24),IF(J$3="N-1 Non respectée",'4-TARIFS ARBITRAGE'!$I54,'4-TARIFS ARBITRAGE'!$H54))</f>
        <v>682</v>
      </c>
      <c r="K23" s="57" t="n">
        <f aca="false">IF($C$3="Tarifs personnels",IF($C23&lt;J23,0,(J23-$C23)*$B23),(J23-$C23)*$B23)</f>
        <v>-18</v>
      </c>
      <c r="L23" s="59" t="s">
        <v>74</v>
      </c>
    </row>
    <row r="24" customFormat="false" ht="13.8" hidden="false" customHeight="false" outlineLevel="0" collapsed="false">
      <c r="A24" s="54" t="str">
        <f aca="false">'4-TARIFS ARBITRAGE'!A55</f>
        <v>HBLD083 - Prothèse amovible résine 11 dents</v>
      </c>
      <c r="B24" s="55" t="n">
        <v>1</v>
      </c>
      <c r="C24" s="56" t="n">
        <v>750</v>
      </c>
      <c r="D24" s="61" t="n">
        <f aca="false">C24</f>
        <v>750</v>
      </c>
      <c r="E24" s="61" t="n">
        <f aca="false">IF($C$3="Tarifs personnels",IF($C24&lt;D24,0,(D24-$C24)*$B24),(D24-$C24)*$B24)</f>
        <v>0</v>
      </c>
      <c r="F24" s="61" t="n">
        <f aca="false">C24</f>
        <v>750</v>
      </c>
      <c r="G24" s="57" t="n">
        <f aca="false">IF($C$3="Tarifs personnels",IF($C24&lt;F24,0,(F24-$C24)*$B24),(F24-$C24)*$B24)</f>
        <v>0</v>
      </c>
      <c r="H24" s="61" t="n">
        <f aca="false">C24</f>
        <v>750</v>
      </c>
      <c r="I24" s="57" t="n">
        <f aca="false">IF($C$3="Tarifs personnels",IF($C24&lt;H24,0,(H24-$C24)*$B24),(H24-$C24)*$B24)</f>
        <v>0</v>
      </c>
      <c r="J24" s="57" t="n">
        <f aca="false">IF($C$2="Province",IF(J$3="N-1 Respectée",'4-TARIFS ARBITRAGE'!$H25,'4-TARIFS ARBITRAGE'!$I25),IF(J$3="N-1 Non respectée",'4-TARIFS ARBITRAGE'!$I55,'4-TARIFS ARBITRAGE'!$H55))</f>
        <v>720</v>
      </c>
      <c r="K24" s="57" t="n">
        <f aca="false">IF($C$3="Tarifs personnels",IF($C24&lt;J24,0,(J24-$C24)*$B24),(J24-$C24)*$B24)</f>
        <v>-30</v>
      </c>
      <c r="L24" s="59" t="s">
        <v>73</v>
      </c>
    </row>
    <row r="25" customFormat="false" ht="13.8" hidden="false" customHeight="false" outlineLevel="0" collapsed="false">
      <c r="A25" s="54" t="str">
        <f aca="false">'4-TARIFS ARBITRAGE'!A56</f>
        <v>HBLD370 - Prothèse amovible résine 12 dents</v>
      </c>
      <c r="B25" s="55" t="n">
        <v>1</v>
      </c>
      <c r="C25" s="56" t="n">
        <v>800</v>
      </c>
      <c r="D25" s="61" t="n">
        <f aca="false">C25</f>
        <v>800</v>
      </c>
      <c r="E25" s="61" t="n">
        <f aca="false">IF($C$3="Tarifs personnels",IF($C25&lt;D25,0,(D25-$C25)*$B25),(D25-$C25)*$B25)</f>
        <v>0</v>
      </c>
      <c r="F25" s="61" t="n">
        <f aca="false">C25</f>
        <v>800</v>
      </c>
      <c r="G25" s="57" t="n">
        <f aca="false">IF($C$3="Tarifs personnels",IF($C25&lt;F25,0,(F25-$C25)*$B25),(F25-$C25)*$B25)</f>
        <v>0</v>
      </c>
      <c r="H25" s="61" t="n">
        <f aca="false">C25</f>
        <v>800</v>
      </c>
      <c r="I25" s="57" t="n">
        <f aca="false">IF($C$3="Tarifs personnels",IF($C25&lt;H25,0,(H25-$C25)*$B25),(H25-$C25)*$B25)</f>
        <v>0</v>
      </c>
      <c r="J25" s="57" t="n">
        <f aca="false">IF($C$2="Province",IF(J$3="N-1 Respectée",'4-TARIFS ARBITRAGE'!$H26,'4-TARIFS ARBITRAGE'!$I26),IF(J$3="N-1 Non respectée",'4-TARIFS ARBITRAGE'!$I56,'4-TARIFS ARBITRAGE'!$H56))</f>
        <v>768</v>
      </c>
      <c r="K25" s="57" t="n">
        <f aca="false">IF($C$3="Tarifs personnels",IF($C25&lt;J25,0,(J25-$C25)*$B25),(J25-$C25)*$B25)</f>
        <v>-32</v>
      </c>
      <c r="L25" s="59" t="s">
        <v>74</v>
      </c>
    </row>
    <row r="26" customFormat="false" ht="13.8" hidden="false" customHeight="false" outlineLevel="0" collapsed="false">
      <c r="A26" s="54" t="str">
        <f aca="false">'4-TARIFS ARBITRAGE'!A57</f>
        <v>HBLD349 - Prothèse amovible résine 13 dents</v>
      </c>
      <c r="B26" s="55" t="n">
        <v>0</v>
      </c>
      <c r="C26" s="56" t="n">
        <v>900</v>
      </c>
      <c r="D26" s="61" t="n">
        <f aca="false">C26</f>
        <v>900</v>
      </c>
      <c r="E26" s="61" t="n">
        <f aca="false">IF($C$3="Tarifs personnels",IF($C26&lt;D26,0,(D26-$C26)*$B26),(D26-$C26)*$B26)</f>
        <v>0</v>
      </c>
      <c r="F26" s="61" t="n">
        <f aca="false">C26</f>
        <v>900</v>
      </c>
      <c r="G26" s="57" t="n">
        <f aca="false">IF($C$3="Tarifs personnels",IF($C26&lt;F26,0,(F26-$C26)*$B26),(F26-$C26)*$B26)</f>
        <v>0</v>
      </c>
      <c r="H26" s="61" t="n">
        <f aca="false">C26</f>
        <v>900</v>
      </c>
      <c r="I26" s="57" t="n">
        <f aca="false">IF($C$3="Tarifs personnels",IF($C26&lt;H26,0,(H26-$C26)*$B26),(H26-$C26)*$B26)</f>
        <v>0</v>
      </c>
      <c r="J26" s="57" t="n">
        <f aca="false">IF($C$2="Province",IF(J$3="N-1 Respectée",'4-TARIFS ARBITRAGE'!$H27,'4-TARIFS ARBITRAGE'!$I27),IF(J$3="N-1 Non respectée",'4-TARIFS ARBITRAGE'!$I57,'4-TARIFS ARBITRAGE'!$H57))</f>
        <v>816</v>
      </c>
      <c r="K26" s="57" t="n">
        <f aca="false">IF($C$3="Tarifs personnels",IF($C26&lt;J26,0,(J26-$C26)*$B26),(J26-$C26)*$B26)</f>
        <v>-0</v>
      </c>
      <c r="L26" s="58"/>
    </row>
    <row r="27" customFormat="false" ht="13.8" hidden="false" customHeight="false" outlineLevel="0" collapsed="false">
      <c r="A27" s="54" t="str">
        <f aca="false">'4-TARIFS ARBITRAGE'!A58</f>
        <v>HBLD031 - Prothèse amovible résine 14 dents</v>
      </c>
      <c r="B27" s="55" t="n">
        <v>22</v>
      </c>
      <c r="C27" s="56" t="n">
        <v>1010</v>
      </c>
      <c r="D27" s="61" t="n">
        <f aca="false">C27</f>
        <v>1010</v>
      </c>
      <c r="E27" s="61" t="n">
        <f aca="false">IF($C$3="Tarifs personnels",IF($C27&lt;D27,0,(D27-$C27)*$B27),(D27-$C27)*$B27)</f>
        <v>0</v>
      </c>
      <c r="F27" s="61" t="n">
        <f aca="false">C27</f>
        <v>1010</v>
      </c>
      <c r="G27" s="57" t="n">
        <f aca="false">IF($C$3="Tarifs personnels",IF($C27&lt;F27,0,(F27-$C27)*$B27),(F27-$C27)*$B27)</f>
        <v>0</v>
      </c>
      <c r="H27" s="61" t="n">
        <f aca="false">C27</f>
        <v>1010</v>
      </c>
      <c r="I27" s="57" t="n">
        <f aca="false">IF($C$3="Tarifs personnels",IF($C27&lt;H27,0,(H27-$C27)*$B27),(H27-$C27)*$B27)</f>
        <v>0</v>
      </c>
      <c r="J27" s="57" t="n">
        <f aca="false">IF($C$2="Province",IF(J$3="N-1 Respectée",'4-TARIFS ARBITRAGE'!$H28,'4-TARIFS ARBITRAGE'!$I28),IF(J$3="N-1 Non respectée",'4-TARIFS ARBITRAGE'!$I58,'4-TARIFS ARBITRAGE'!$H58))</f>
        <v>946</v>
      </c>
      <c r="K27" s="57" t="n">
        <f aca="false">IF($C$3="Tarifs personnels",IF($C27&lt;J27,0,(J27-$C27)*$B27),(J27-$C27)*$B27)</f>
        <v>-1408</v>
      </c>
      <c r="L27" s="63" t="s">
        <v>75</v>
      </c>
    </row>
    <row r="28" customFormat="false" ht="13.8" hidden="false" customHeight="false" outlineLevel="0" collapsed="false">
      <c r="A28" s="64" t="s">
        <v>76</v>
      </c>
      <c r="B28" s="65"/>
      <c r="C28" s="66"/>
      <c r="D28" s="67" t="n">
        <f aca="false">IF($C3="Tarifs personnels",IF($C7&lt;D7,0,(D7-$C7)*$B7)+IF($C8&lt;D8,0,(D8-$C8)*$B8)+IF($C9&lt;D9,0,(D9-$C9)*$B9)+IF($C10&lt;D10,0,(D10-$C10)*$B10)+IF($C11&lt;D11,0,(D11-$C11)*$B11)+IF($C12&lt;D12,0,(D12-$C12)*$B12)+IF($C13&lt;D13,0,(D13-$C13)*$B13)+IF($C14&lt;D14,0,(D14-$C14)*$B14)+IF($C15&lt;D15,0,(D15-$C15)*$B15)+IF($C16&lt;D16,0,(D16-$C16)*$B16)+IF($C17&lt;D17,0,(D17-$C17)*$B17)+IF($C18&lt;D18,0,(D18-$C18)*$B18)+IF($C19&lt;D19,0,(D19-$C19)*$B19)+IF($C20&lt;D20,0,(D20-$C20)*$B20)+IF($C21&lt;D21,0,(D21-$C21)*$B21)+IF($C22&lt;D22,0,(D22-$C22)*$B22)+IF($C23&lt;D23,0,(D23-$C23)*$B23)+IF($C24&lt;D24,0,(D24-$C24)*$B24)+IF($C25&lt;D25,0,(D25-$C25)*$B25)+IF($C26&lt;D26,0,(D26-$C26)*$B26)+IF($C27&lt;D27,0,(D27-$C27)*$B27),(D7-$C7)*$B7+(D8-$C8)*$B8+(D9-$C9)*$B9+(D10-$C10)*$B10+(D11-$C11)*$B11+(D12-$C12)*$B12+(D13-$C13)*$B13+(D14-$C14)*$B14+(D15-$C15)*$B15+(D16-$C16)*$B16+(D17-$C17)*$B17+(D18-$C18)*$B18+(D19-$C19)*$B19+(D20-$C20)*$B20+(D21-$C21)*$B21+(D22-$C22)*$B22+(D23-$C23)*$B23+(D24-$C24)*$B24+(D25-$C25)*$B25+(D26-$C26)*$B26+(D27-$C27)*$B27)</f>
        <v>-3840</v>
      </c>
      <c r="E28" s="67" t="n">
        <f aca="false">SUM(E7:E27)</f>
        <v>-3840</v>
      </c>
      <c r="F28" s="67" t="n">
        <f aca="false">IF($C3="Tarifs personnels",IF($C7&lt;F7,0,(F7-$C7)*$B7)+IF($C8&lt;F8,0,(F8-$C8)*$B8)+IF($C9&lt;F9,0,(F9-$C9)*$B9)+IF($C10&lt;F10,0,(F10-$C10)*$B10)+IF($C11&lt;F11,0,(F11-$C11)*$B11)+IF($C12&lt;F12,0,(F12-$C12)*$B12)+IF($C13&lt;F13,0,(F13-$C13)*$B13)+IF($C14&lt;F14,0,(F14-$C14)*$B14)+IF($C15&lt;F15,0,(F15-$C15)*$B15)+IF($C16&lt;F16,0,(F16-$C16)*$B16)+IF($C17&lt;F17,0,(F17-$C17)*$B17)+IF($C18&lt;F18,0,(F18-$C18)*$B18)+IF($C19&lt;F19,0,(F19-$C19)*$B19)+IF($C20&lt;F20,0,(F20-$C20)*$B20)+IF($C21&lt;F21,0,(F21-$C21)*$B21)+IF($C22&lt;F22,0,(F22-$C22)*$B22)+IF($C23&lt;F23,0,(F23-$C23)*$B23)+IF($C24&lt;F24,0,(F24-$C24)*$B24)+IF($C25&lt;F25,0,(F25-$C25)*$B25)+IF($C26&lt;F26,0,(F26-$C26)*$B26)+IF($C27&lt;F27,0,(F27-$C27)*$B27),(F7-$C7)*$B7+(F8-$C8)*$B8+(F9-$C9)*$B9+(F10-$C10)*$B10+(F11-$C11)*$B11+(F12-$C12)*$B12+(F13-$C13)*$B13+(F14-$C14)*$B14+(F15-$C15)*$B15+(F16-$C16)*$B16+(F17-$C17)*$B17+(F18-$C18)*$B18+(F19-$C19)*$B19+(F20-$C20)*$B20+(F21-$C21)*$B21+(F22-$C22)*$B22+(F23-$C23)*$B23+(F24-$C24)*$B24+(F25-$C25)*$B25+(F26-$C26)*$B26+(F27-$C27)*$B27)</f>
        <v>-12366</v>
      </c>
      <c r="G28" s="67" t="n">
        <f aca="false">SUM(G7:G27)</f>
        <v>-12366</v>
      </c>
      <c r="H28" s="67" t="n">
        <f aca="false">IF($C3="Tarifs personnels",IF($C7&lt;H7,0,(H7-$C7)*$B7)+IF($C8&lt;H8,0,(H8-$C8)*$B8)+IF($C9&lt;H9,0,(H9-$C9)*$B9)+IF($C10&lt;H10,0,(H10-$C10)*$B10)+IF($C11&lt;H11,0,(H11-$C11)*$B11)+IF($C12&lt;H12,0,(H12-$C12)*$B12)+IF($C13&lt;H13,0,(H13-$C13)*$B13)+IF($C14&lt;H14,0,(H14-$C14)*$B14)+IF($C15&lt;H15,0,(H15-$C15)*$B15)+IF($C16&lt;H16,0,(H16-$C16)*$B16)+IF($C17&lt;H17,0,(H17-$C17)*$B17)+IF($C18&lt;H18,0,(H18-$C18)*$B18)+IF($C19&lt;H19,0,(H19-$C19)*$B19)+IF($C20&lt;H20,0,(H20-$C20)*$B20)+IF($C21&lt;H21,0,(H21-$C21)*$B21)+IF($C22&lt;H22,0,(H22-$C22)*$B22)+IF($C23&lt;H23,0,(H23-$C23)*$B23)+IF($C24&lt;H24,0,(H24-$C24)*$B24)+IF($C25&lt;H25,0,(H25-$C25)*$B25)+IF($C26&lt;H26,0,(H26-$C26)*$B26)+IF($C27&lt;H27,0,(H27-$C27)*$B27),(H7-$C7)*$B7+(H8-$C8)*$B8+(H9-$C9)*$B9+(H10-$C10)*$B10+(H11-$C11)*$B11+(H12-$C12)*$B12+(H13-$C13)*$B13+(H14-$C14)*$B14+(H15-$C15)*$B15+(H16-$C16)*$B16+(H17-$C17)*$B17+(H18-$C18)*$B18+(H19-$C19)*$B19+(H20-$C20)*$B20+(H21-$C21)*$B21+(H22-$C22)*$B22+(H23-$C23)*$B23+(H24-$C24)*$B24+(H25-$C25)*$B25+(H26-$C26)*$B26+(H27-$C27)*$B27)</f>
        <v>-15584</v>
      </c>
      <c r="I28" s="67" t="n">
        <f aca="false">SUM(I7:I27)</f>
        <v>-15584</v>
      </c>
      <c r="J28" s="67" t="n">
        <f aca="false">IF($C3="Tarifs personnels",IF($C7&lt;J7,0,(J7-$C7)*$B7)+IF($C8&lt;J8,0,(J8-$C8)*$B8)+IF($C9&lt;J9,0,(J9-$C9)*$B9)+IF($C10&lt;J10,0,(J10-$C10)*$B10)+IF($C11&lt;J11,0,(J11-$C11)*$B11)+IF($C12&lt;J12,0,(J12-$C12)*$B12)+IF($C13&lt;J13,0,(J13-$C13)*$B13)+IF($C14&lt;J14,0,(J14-$C14)*$B14)+IF($C15&lt;J15,0,(J15-$C15)*$B15)+IF($C16&lt;J16,0,(J16-$C16)*$B16)+IF($C17&lt;J17,0,(J17-$C17)*$B17)+IF($C18&lt;J18,0,(J18-$C18)*$B18)+IF($C19&lt;J19,0,(J19-$C19)*$B19)+IF($C20&lt;J20,0,(J20-$C20)*$B20)+IF($C21&lt;J21,0,(J21-$C21)*$B21)+IF($C22&lt;J22,0,(J22-$C22)*$B22)+IF($C23&lt;J23,0,(J23-$C23)*$B23)+IF($C24&lt;J24,0,(J24-$C24)*$B24)+IF($C25&lt;J25,0,(J25-$C25)*$B25)+IF($C26&lt;J26,0,(J26-$C26)*$B26)+IF($C27&lt;J27,0,(J27-$C27)*$B27),(J7-$C7)*$B7+(J8-$C8)*$B8+(J9-$C9)*$B9+(J10-$C10)*$B10+(J11-$C11)*$B11+(J12-$C12)*$B12+(J13-$C13)*$B13+(J14-$C14)*$B14+(J15-$C15)*$B15+(J16-$C16)*$B16+(J17-$C17)*$B17+(J18-$C18)*$B18+(J19-$C19)*$B19+(J20-$C20)*$B20+(J21-$C21)*$B21+(J22-$C22)*$B22+(J23-$C23)*$B23+(J24-$C24)*$B24+(J25-$C25)*$B25+(J26-$C26)*$B26+(J27-$C27)*$B27)</f>
        <v>-18098</v>
      </c>
      <c r="K28" s="68" t="n">
        <f aca="false">SUM(K7:K27)</f>
        <v>-18098</v>
      </c>
      <c r="L28" s="68" t="n">
        <f aca="false">SUM(D28,F28,H28,J28)</f>
        <v>-49888</v>
      </c>
    </row>
    <row r="29" customFormat="false" ht="13.8" hidden="false" customHeight="false" outlineLevel="0" collapsed="false">
      <c r="A29" s="54" t="s">
        <v>77</v>
      </c>
      <c r="B29" s="69" t="s">
        <v>78</v>
      </c>
      <c r="C29" s="70" t="s">
        <v>79</v>
      </c>
      <c r="D29" s="71"/>
      <c r="E29" s="71"/>
      <c r="F29" s="71"/>
      <c r="G29" s="71"/>
      <c r="H29" s="71"/>
      <c r="I29" s="71"/>
      <c r="J29" s="71"/>
      <c r="K29" s="72"/>
      <c r="L29" s="73"/>
    </row>
    <row r="30" customFormat="false" ht="13.8" hidden="false" customHeight="false" outlineLevel="0" collapsed="false">
      <c r="A30" s="74" t="s">
        <v>80</v>
      </c>
      <c r="B30" s="56" t="n">
        <v>10000</v>
      </c>
      <c r="C30" s="75" t="n">
        <v>0.1</v>
      </c>
      <c r="D30" s="76" t="n">
        <f aca="false">$B30*$C30</f>
        <v>1000</v>
      </c>
      <c r="E30" s="76"/>
      <c r="F30" s="76" t="n">
        <f aca="false">$B30*$C30</f>
        <v>1000</v>
      </c>
      <c r="G30" s="76"/>
      <c r="H30" s="76" t="n">
        <f aca="false">$B30*$C30</f>
        <v>1000</v>
      </c>
      <c r="I30" s="76"/>
      <c r="J30" s="76" t="n">
        <f aca="false">$B30*$C30</f>
        <v>1000</v>
      </c>
      <c r="K30" s="77"/>
      <c r="L30" s="77" t="n">
        <f aca="false">SUM(D30:J30)</f>
        <v>4000</v>
      </c>
    </row>
    <row r="31" customFormat="false" ht="13.8" hidden="false" customHeight="false" outlineLevel="0" collapsed="false">
      <c r="A31" s="54" t="str">
        <f aca="false">'4-TARIFS ARBITRAGE'!A64</f>
        <v>HBBD006 - Sealants 2 dents</v>
      </c>
      <c r="B31" s="55" t="n">
        <v>10</v>
      </c>
      <c r="C31" s="78" t="n">
        <f aca="false">'4-TARIFS ARBITRAGE'!B64</f>
        <v>43.38</v>
      </c>
      <c r="D31" s="79" t="n">
        <f aca="false">'4-TARIFS ARBITRAGE'!C64</f>
        <v>43.38</v>
      </c>
      <c r="E31" s="79"/>
      <c r="F31" s="79" t="n">
        <f aca="false">IF(F$4="N-1 Respectée",'4-TARIFS ARBITRAGE'!$D64,'4-TARIFS ARBITRAGE'!$E64)</f>
        <v>43.38</v>
      </c>
      <c r="G31" s="79"/>
      <c r="H31" s="79" t="n">
        <f aca="false">IF(F$4="N-1 Respectée",IF(H$4="N-1 Respectée",'4-TARIFS ARBITRAGE'!$F64,'4-TARIFS ARBITRAGE'!$D64),IF(H$4="N-1 Respectée",'4-TARIFS ARBITRAGE'!$D64,'4-TARIFS ARBITRAGE'!$E64))</f>
        <v>43.38</v>
      </c>
      <c r="I31" s="79"/>
      <c r="J31" s="79" t="n">
        <f aca="false">IF(F$4="N-1 Respectée",(IF(H$4="N-1 Respectée",IF(J$4="N-1 Respectée",'4-TARIFS ARBITRAGE'!$H64,'4-TARIFS ARBITRAGE'!$F64),IF(J$4="N-1 Respectée",'4-TARIFS ARBITRAGE'!$F64,'4-TARIFS ARBITRAGE'!$D64))),(IF(H$4="N-1 Respectée",(IF(J$4="N-1 Respectée",'4-TARIFS ARBITRAGE'!$F64,'4-TARIFS ARBITRAGE'!$D64)),IF(J$4="N-1 Respectée",'4-TARIFS ARBITRAGE'!$D64,'4-TARIFS ARBITRAGE'!$C64))))</f>
        <v>43.38</v>
      </c>
      <c r="K31" s="79"/>
      <c r="L31" s="80"/>
    </row>
    <row r="32" customFormat="false" ht="13.8" hidden="false" customHeight="false" outlineLevel="0" collapsed="false">
      <c r="A32" s="54" t="str">
        <f aca="false">'4-TARIFS ARBITRAGE'!A65</f>
        <v>HBBD004 - Sealants 4 dents</v>
      </c>
      <c r="B32" s="55" t="n">
        <v>4</v>
      </c>
      <c r="C32" s="78" t="n">
        <f aca="false">'4-TARIFS ARBITRAGE'!B65</f>
        <v>86.76</v>
      </c>
      <c r="D32" s="79" t="n">
        <f aca="false">'4-TARIFS ARBITRAGE'!C65</f>
        <v>86.76</v>
      </c>
      <c r="E32" s="79"/>
      <c r="F32" s="79" t="n">
        <f aca="false">IF(F$4="N-1 Respectée",'4-TARIFS ARBITRAGE'!$D65,'4-TARIFS ARBITRAGE'!$E65)</f>
        <v>86.76</v>
      </c>
      <c r="G32" s="79"/>
      <c r="H32" s="79" t="n">
        <f aca="false">IF(F$4="N-1 Respectée",IF(H$4="N-1 Respectée",'4-TARIFS ARBITRAGE'!$F65,'4-TARIFS ARBITRAGE'!$D65),IF(H$4="N-1 Respectée",'4-TARIFS ARBITRAGE'!$D65,'4-TARIFS ARBITRAGE'!$E65))</f>
        <v>86.76</v>
      </c>
      <c r="I32" s="79"/>
      <c r="J32" s="79" t="n">
        <f aca="false">IF(F$4="N-1 Respectée",(IF(H$4="N-1 Respectée",IF(J$4="N-1 Respectée",'4-TARIFS ARBITRAGE'!$H65,'4-TARIFS ARBITRAGE'!$F65),IF(J$4="N-1 Respectée",'4-TARIFS ARBITRAGE'!$F65,'4-TARIFS ARBITRAGE'!$D65))),(IF(H$4="N-1 Respectée",(IF(J$4="N-1 Respectée",'4-TARIFS ARBITRAGE'!$F65,'4-TARIFS ARBITRAGE'!$D65)),IF(J$4="N-1 Respectée",'4-TARIFS ARBITRAGE'!$D65,'4-TARIFS ARBITRAGE'!$C65))))</f>
        <v>86.76</v>
      </c>
      <c r="K32" s="79"/>
      <c r="L32" s="80"/>
    </row>
    <row r="33" customFormat="false" ht="13.8" hidden="false" customHeight="false" outlineLevel="0" collapsed="false">
      <c r="A33" s="54" t="str">
        <f aca="false">'4-TARIFS ARBITRAGE'!A66</f>
        <v>HBBD404 - Sealants 6 dents</v>
      </c>
      <c r="B33" s="55" t="n">
        <v>0</v>
      </c>
      <c r="C33" s="78" t="n">
        <f aca="false">'4-TARIFS ARBITRAGE'!B66</f>
        <v>130.14</v>
      </c>
      <c r="D33" s="79" t="n">
        <f aca="false">'4-TARIFS ARBITRAGE'!C66</f>
        <v>130.14</v>
      </c>
      <c r="E33" s="79"/>
      <c r="F33" s="79" t="n">
        <f aca="false">IF(F$4="N-1 Respectée",'4-TARIFS ARBITRAGE'!$D66,'4-TARIFS ARBITRAGE'!$E66)</f>
        <v>130.14</v>
      </c>
      <c r="G33" s="79"/>
      <c r="H33" s="79" t="n">
        <f aca="false">IF(F$4="N-1 Respectée",IF(H$4="N-1 Respectée",'4-TARIFS ARBITRAGE'!$F66,'4-TARIFS ARBITRAGE'!$D66),IF(H$4="N-1 Respectée",'4-TARIFS ARBITRAGE'!$D66,'4-TARIFS ARBITRAGE'!$E66))</f>
        <v>130.14</v>
      </c>
      <c r="I33" s="79"/>
      <c r="J33" s="79" t="n">
        <f aca="false">IF(F$4="N-1 Respectée",(IF(H$4="N-1 Respectée",IF(J$4="N-1 Respectée",'4-TARIFS ARBITRAGE'!$H66,'4-TARIFS ARBITRAGE'!$F66),IF(J$4="N-1 Respectée",'4-TARIFS ARBITRAGE'!$F66,'4-TARIFS ARBITRAGE'!$D66))),(IF(H$4="N-1 Respectée",(IF(J$4="N-1 Respectée",'4-TARIFS ARBITRAGE'!$F66,'4-TARIFS ARBITRAGE'!$D66)),IF(J$4="N-1 Respectée",'4-TARIFS ARBITRAGE'!$D66,'4-TARIFS ARBITRAGE'!$C66))))</f>
        <v>130.14</v>
      </c>
      <c r="K33" s="79"/>
      <c r="L33" s="80"/>
    </row>
    <row r="34" customFormat="false" ht="13.8" hidden="false" customHeight="false" outlineLevel="0" collapsed="false">
      <c r="A34" s="54" t="str">
        <f aca="false">'4-TARIFS ARBITRAGE'!A67</f>
        <v>HBBD427 - Sealants 8 dents</v>
      </c>
      <c r="B34" s="55" t="n">
        <v>0</v>
      </c>
      <c r="C34" s="78" t="n">
        <f aca="false">'4-TARIFS ARBITRAGE'!B67</f>
        <v>173.52</v>
      </c>
      <c r="D34" s="79" t="n">
        <f aca="false">'4-TARIFS ARBITRAGE'!C67</f>
        <v>173.52</v>
      </c>
      <c r="E34" s="79"/>
      <c r="F34" s="79" t="n">
        <f aca="false">IF(F$4="N-1 Respectée",'4-TARIFS ARBITRAGE'!$D67,'4-TARIFS ARBITRAGE'!$E67)</f>
        <v>173.52</v>
      </c>
      <c r="G34" s="79"/>
      <c r="H34" s="79" t="n">
        <f aca="false">IF(F$4="N-1 Respectée",IF(H$4="N-1 Respectée",'4-TARIFS ARBITRAGE'!$F67,'4-TARIFS ARBITRAGE'!$D67),IF(H$4="N-1 Respectée",'4-TARIFS ARBITRAGE'!$D67,'4-TARIFS ARBITRAGE'!$E67))</f>
        <v>173.52</v>
      </c>
      <c r="I34" s="79"/>
      <c r="J34" s="79" t="n">
        <f aca="false">IF(F$4="N-1 Respectée",(IF(H$4="N-1 Respectée",IF(J$4="N-1 Respectée",'4-TARIFS ARBITRAGE'!$H67,'4-TARIFS ARBITRAGE'!$F67),IF(J$4="N-1 Respectée",'4-TARIFS ARBITRAGE'!$F67,'4-TARIFS ARBITRAGE'!$D67))),(IF(H$4="N-1 Respectée",(IF(J$4="N-1 Respectée",'4-TARIFS ARBITRAGE'!$F67,'4-TARIFS ARBITRAGE'!$D67)),IF(J$4="N-1 Respectée",'4-TARIFS ARBITRAGE'!$D67,'4-TARIFS ARBITRAGE'!$C67))))</f>
        <v>173.52</v>
      </c>
      <c r="K34" s="79"/>
      <c r="L34" s="80"/>
    </row>
    <row r="35" customFormat="false" ht="13.8" hidden="false" customHeight="false" outlineLevel="0" collapsed="false">
      <c r="A35" s="54" t="str">
        <f aca="false">'4-TARIFS ARBITRAGE'!A68</f>
        <v>HBMD058 / HBMD053 - Restauration 1 face</v>
      </c>
      <c r="B35" s="55" t="n">
        <v>129</v>
      </c>
      <c r="C35" s="78" t="n">
        <f aca="false">'4-TARIFS ARBITRAGE'!B68</f>
        <v>19.28</v>
      </c>
      <c r="D35" s="79" t="n">
        <f aca="false">'4-TARIFS ARBITRAGE'!C68</f>
        <v>21.59</v>
      </c>
      <c r="E35" s="79"/>
      <c r="F35" s="79" t="n">
        <f aca="false">IF(F$4="N-1 Respectée",'4-TARIFS ARBITRAGE'!$D68,'4-TARIFS ARBITRAGE'!$E68)</f>
        <v>21.59</v>
      </c>
      <c r="G35" s="79"/>
      <c r="H35" s="79" t="n">
        <f aca="false">IF(F$4="N-1 Respectée",IF(H$4="N-1 Respectée",'4-TARIFS ARBITRAGE'!$F68,'4-TARIFS ARBITRAGE'!$D68),IF(H$4="N-1 Respectée",'4-TARIFS ARBITRAGE'!$D68,'4-TARIFS ARBITRAGE'!$E68))</f>
        <v>21.59</v>
      </c>
      <c r="I35" s="79"/>
      <c r="J35" s="79" t="n">
        <f aca="false">IF(F$4="N-1 Respectée",(IF(H$4="N-1 Respectée",IF(J$4="N-1 Respectée",'4-TARIFS ARBITRAGE'!$H68,'4-TARIFS ARBITRAGE'!$F68),IF(J$4="N-1 Respectée",'4-TARIFS ARBITRAGE'!$F68,'4-TARIFS ARBITRAGE'!$D68))),(IF(H$4="N-1 Respectée",(IF(J$4="N-1 Respectée",'4-TARIFS ARBITRAGE'!$F68,'4-TARIFS ARBITRAGE'!$D68)),IF(J$4="N-1 Respectée",'4-TARIFS ARBITRAGE'!$D68,'4-TARIFS ARBITRAGE'!$C68))))</f>
        <v>21.59</v>
      </c>
      <c r="K35" s="79"/>
      <c r="L35" s="80"/>
    </row>
    <row r="36" customFormat="false" ht="13.8" hidden="false" customHeight="false" outlineLevel="0" collapsed="false">
      <c r="A36" s="54" t="str">
        <f aca="false">'4-TARIFS ARBITRAGE'!A69</f>
        <v>HBMD050 / HBMD049 - Restauration 2 faces</v>
      </c>
      <c r="B36" s="55" t="n">
        <v>296</v>
      </c>
      <c r="C36" s="78" t="n">
        <f aca="false">'4-TARIFS ARBITRAGE'!B69</f>
        <v>33.74</v>
      </c>
      <c r="D36" s="79" t="n">
        <f aca="false">'4-TARIFS ARBITRAGE'!C69</f>
        <v>37.79</v>
      </c>
      <c r="E36" s="79"/>
      <c r="F36" s="79" t="n">
        <f aca="false">IF(F$4="N-1 Respectée",'4-TARIFS ARBITRAGE'!$D69,'4-TARIFS ARBITRAGE'!$E69)</f>
        <v>37.79</v>
      </c>
      <c r="G36" s="79"/>
      <c r="H36" s="79" t="n">
        <f aca="false">IF(F$4="N-1 Respectée",IF(H$4="N-1 Respectée",'4-TARIFS ARBITRAGE'!$F69,'4-TARIFS ARBITRAGE'!$D69),IF(H$4="N-1 Respectée",'4-TARIFS ARBITRAGE'!$D69,'4-TARIFS ARBITRAGE'!$E69))</f>
        <v>37.79</v>
      </c>
      <c r="I36" s="79"/>
      <c r="J36" s="79" t="n">
        <f aca="false">IF(F$4="N-1 Respectée",(IF(H$4="N-1 Respectée",IF(J$4="N-1 Respectée",'4-TARIFS ARBITRAGE'!$H69,'4-TARIFS ARBITRAGE'!$F69),IF(J$4="N-1 Respectée",'4-TARIFS ARBITRAGE'!$F69,'4-TARIFS ARBITRAGE'!$D69))),(IF(H$4="N-1 Respectée",(IF(J$4="N-1 Respectée",'4-TARIFS ARBITRAGE'!$F69,'4-TARIFS ARBITRAGE'!$D69)),IF(J$4="N-1 Respectée",'4-TARIFS ARBITRAGE'!$D69,'4-TARIFS ARBITRAGE'!$C69))))</f>
        <v>37.79</v>
      </c>
      <c r="K36" s="79"/>
      <c r="L36" s="81" t="s">
        <v>74</v>
      </c>
    </row>
    <row r="37" customFormat="false" ht="13.8" hidden="false" customHeight="false" outlineLevel="0" collapsed="false">
      <c r="A37" s="54" t="str">
        <f aca="false">'4-TARIFS ARBITRAGE'!A70</f>
        <v>HBMD054 / HBMD038 - Restauration 3 faces</v>
      </c>
      <c r="B37" s="55" t="n">
        <v>87</v>
      </c>
      <c r="C37" s="78" t="n">
        <f aca="false">'4-TARIFS ARBITRAGE'!B70</f>
        <v>40.97</v>
      </c>
      <c r="D37" s="79" t="n">
        <f aca="false">'4-TARIFS ARBITRAGE'!C70</f>
        <v>47.93</v>
      </c>
      <c r="E37" s="79"/>
      <c r="F37" s="79" t="n">
        <f aca="false">IF(F$4="N-1 Respectée",'4-TARIFS ARBITRAGE'!$D70,'4-TARIFS ARBITRAGE'!$E70)</f>
        <v>47.93</v>
      </c>
      <c r="G37" s="79"/>
      <c r="H37" s="79" t="n">
        <f aca="false">IF(F$4="N-1 Respectée",IF(H$4="N-1 Respectée",'4-TARIFS ARBITRAGE'!$F70,'4-TARIFS ARBITRAGE'!$D70),IF(H$4="N-1 Respectée",'4-TARIFS ARBITRAGE'!$D70,'4-TARIFS ARBITRAGE'!$E70))</f>
        <v>47.93</v>
      </c>
      <c r="I37" s="79"/>
      <c r="J37" s="79" t="n">
        <f aca="false">IF(F$4="N-1 Respectée",(IF(H$4="N-1 Respectée",IF(J$4="N-1 Respectée",'4-TARIFS ARBITRAGE'!$H70,'4-TARIFS ARBITRAGE'!$F70),IF(J$4="N-1 Respectée",'4-TARIFS ARBITRAGE'!$F70,'4-TARIFS ARBITRAGE'!$D70))),(IF(H$4="N-1 Respectée",(IF(J$4="N-1 Respectée",'4-TARIFS ARBITRAGE'!$F70,'4-TARIFS ARBITRAGE'!$D70)),IF(J$4="N-1 Respectée",'4-TARIFS ARBITRAGE'!$D70,'4-TARIFS ARBITRAGE'!$C70))))</f>
        <v>47.93</v>
      </c>
      <c r="K37" s="79"/>
      <c r="L37" s="81" t="s">
        <v>70</v>
      </c>
    </row>
    <row r="38" customFormat="false" ht="13.8" hidden="false" customHeight="false" outlineLevel="0" collapsed="false">
      <c r="A38" s="54" t="str">
        <f aca="false">'4-TARIFS ARBITRAGE'!A71</f>
        <v>HBMD044 - Restauration 1 angle</v>
      </c>
      <c r="B38" s="55" t="n">
        <v>13</v>
      </c>
      <c r="C38" s="78" t="n">
        <f aca="false">'4-TARIFS ARBITRAGE'!B71</f>
        <v>43</v>
      </c>
      <c r="D38" s="79" t="n">
        <f aca="false">'4-TARIFS ARBITRAGE'!C71</f>
        <v>45.54</v>
      </c>
      <c r="E38" s="79"/>
      <c r="F38" s="79" t="n">
        <f aca="false">IF(F$4="N-1 Respectée",'4-TARIFS ARBITRAGE'!$D71,'4-TARIFS ARBITRAGE'!$E71)</f>
        <v>45.54</v>
      </c>
      <c r="G38" s="79"/>
      <c r="H38" s="79" t="n">
        <f aca="false">IF(F$4="N-1 Respectée",IF(H$4="N-1 Respectée",'4-TARIFS ARBITRAGE'!$F71,'4-TARIFS ARBITRAGE'!$D71),IF(H$4="N-1 Respectée",'4-TARIFS ARBITRAGE'!$D71,'4-TARIFS ARBITRAGE'!$E71))</f>
        <v>45.54</v>
      </c>
      <c r="I38" s="79"/>
      <c r="J38" s="79" t="n">
        <f aca="false">IF(F$4="N-1 Respectée",(IF(H$4="N-1 Respectée",IF(J$4="N-1 Respectée",'4-TARIFS ARBITRAGE'!$H71,'4-TARIFS ARBITRAGE'!$F71),IF(J$4="N-1 Respectée",'4-TARIFS ARBITRAGE'!$F71,'4-TARIFS ARBITRAGE'!$D71))),(IF(H$4="N-1 Respectée",(IF(J$4="N-1 Respectée",'4-TARIFS ARBITRAGE'!$F71,'4-TARIFS ARBITRAGE'!$D71)),IF(J$4="N-1 Respectée",'4-TARIFS ARBITRAGE'!$D71,'4-TARIFS ARBITRAGE'!$C71))))</f>
        <v>45.54</v>
      </c>
      <c r="K38" s="79"/>
      <c r="L38" s="81" t="s">
        <v>81</v>
      </c>
    </row>
    <row r="39" customFormat="false" ht="13.8" hidden="false" customHeight="false" outlineLevel="0" collapsed="false">
      <c r="A39" s="54" t="str">
        <f aca="false">'4-TARIFS ARBITRAGE'!A72</f>
        <v>HBMD047 - Restauration 2 angles</v>
      </c>
      <c r="B39" s="55" t="n">
        <v>0</v>
      </c>
      <c r="C39" s="78" t="n">
        <f aca="false">'4-TARIFS ARBITRAGE'!B72</f>
        <v>86</v>
      </c>
      <c r="D39" s="79" t="n">
        <f aca="false">'4-TARIFS ARBITRAGE'!C72</f>
        <v>91.08</v>
      </c>
      <c r="E39" s="79"/>
      <c r="F39" s="79" t="n">
        <f aca="false">IF(F$4="N-1 Respectée",'4-TARIFS ARBITRAGE'!$D72,'4-TARIFS ARBITRAGE'!$E72)</f>
        <v>91.08</v>
      </c>
      <c r="G39" s="79"/>
      <c r="H39" s="79" t="n">
        <f aca="false">IF(F$4="N-1 Respectée",IF(H$4="N-1 Respectée",'4-TARIFS ARBITRAGE'!$F72,'4-TARIFS ARBITRAGE'!$D72),IF(H$4="N-1 Respectée",'4-TARIFS ARBITRAGE'!$D72,'4-TARIFS ARBITRAGE'!$E72))</f>
        <v>91.08</v>
      </c>
      <c r="I39" s="79"/>
      <c r="J39" s="79" t="n">
        <f aca="false">IF(F$4="N-1 Respectée",(IF(H$4="N-1 Respectée",IF(J$4="N-1 Respectée",'4-TARIFS ARBITRAGE'!$H72,'4-TARIFS ARBITRAGE'!$F72),IF(J$4="N-1 Respectée",'4-TARIFS ARBITRAGE'!$F72,'4-TARIFS ARBITRAGE'!$D72))),(IF(H$4="N-1 Respectée",(IF(J$4="N-1 Respectée",'4-TARIFS ARBITRAGE'!$F72,'4-TARIFS ARBITRAGE'!$D72)),IF(J$4="N-1 Respectée",'4-TARIFS ARBITRAGE'!$D72,'4-TARIFS ARBITRAGE'!$C72))))</f>
        <v>91.08</v>
      </c>
      <c r="K39" s="79"/>
      <c r="L39" s="81" t="s">
        <v>82</v>
      </c>
    </row>
    <row r="40" customFormat="false" ht="13.8" hidden="false" customHeight="false" outlineLevel="0" collapsed="false">
      <c r="A40" s="54" t="str">
        <f aca="false">'4-TARIFS ARBITRAGE'!A73</f>
        <v>HBMD042 - Restauration avec ancrage radiculaire</v>
      </c>
      <c r="B40" s="55" t="n">
        <v>0</v>
      </c>
      <c r="C40" s="78" t="n">
        <f aca="false">'4-TARIFS ARBITRAGE'!B73</f>
        <v>79.53</v>
      </c>
      <c r="D40" s="79" t="n">
        <f aca="false">'4-TARIFS ARBITRAGE'!C73</f>
        <v>79.53</v>
      </c>
      <c r="E40" s="79"/>
      <c r="F40" s="79" t="n">
        <f aca="false">IF(F$4="N-1 Respectée",'4-TARIFS ARBITRAGE'!$D73,'4-TARIFS ARBITRAGE'!$E73)</f>
        <v>79.53</v>
      </c>
      <c r="G40" s="79"/>
      <c r="H40" s="79" t="n">
        <f aca="false">IF(F$4="N-1 Respectée",IF(H$4="N-1 Respectée",'4-TARIFS ARBITRAGE'!$F73,'4-TARIFS ARBITRAGE'!$D73),IF(H$4="N-1 Respectée",'4-TARIFS ARBITRAGE'!$D73,'4-TARIFS ARBITRAGE'!$E73))</f>
        <v>79.53</v>
      </c>
      <c r="I40" s="79"/>
      <c r="J40" s="79" t="n">
        <f aca="false">IF(F$4="N-1 Respectée",(IF(H$4="N-1 Respectée",IF(J$4="N-1 Respectée",'4-TARIFS ARBITRAGE'!$H73,'4-TARIFS ARBITRAGE'!$F73),IF(J$4="N-1 Respectée",'4-TARIFS ARBITRAGE'!$F73,'4-TARIFS ARBITRAGE'!$D73))),(IF(H$4="N-1 Respectée",(IF(J$4="N-1 Respectée",'4-TARIFS ARBITRAGE'!$F73,'4-TARIFS ARBITRAGE'!$D73)),IF(J$4="N-1 Respectée",'4-TARIFS ARBITRAGE'!$D73,'4-TARIFS ARBITRAGE'!$C73))))</f>
        <v>79.53</v>
      </c>
      <c r="K40" s="79"/>
      <c r="L40" s="81" t="s">
        <v>74</v>
      </c>
    </row>
    <row r="41" customFormat="false" ht="13.8" hidden="false" customHeight="false" outlineLevel="0" collapsed="false">
      <c r="A41" s="54" t="str">
        <f aca="false">'4-TARIFS ARBITRAGE'!A74</f>
        <v>HBGD035 - Avulsion 1 dent temporaire</v>
      </c>
      <c r="B41" s="55" t="n">
        <v>0</v>
      </c>
      <c r="C41" s="78" t="n">
        <f aca="false">'4-TARIFS ARBITRAGE'!B74</f>
        <v>16.72</v>
      </c>
      <c r="D41" s="79" t="n">
        <f aca="false">'4-TARIFS ARBITRAGE'!C74</f>
        <v>23.07</v>
      </c>
      <c r="E41" s="79"/>
      <c r="F41" s="79" t="n">
        <f aca="false">IF(F$4="N-1 Respectée",'4-TARIFS ARBITRAGE'!$D74,'4-TARIFS ARBITRAGE'!$E74)</f>
        <v>23.07</v>
      </c>
      <c r="G41" s="79"/>
      <c r="H41" s="79" t="n">
        <f aca="false">IF(F$4="N-1 Respectée",IF(H$4="N-1 Respectée",'4-TARIFS ARBITRAGE'!$F74,'4-TARIFS ARBITRAGE'!$D74),IF(H$4="N-1 Respectée",'4-TARIFS ARBITRAGE'!$D74,'4-TARIFS ARBITRAGE'!$E74))</f>
        <v>23.07</v>
      </c>
      <c r="I41" s="79"/>
      <c r="J41" s="79" t="n">
        <f aca="false">IF(F$4="N-1 Respectée",(IF(H$4="N-1 Respectée",IF(J$4="N-1 Respectée",'4-TARIFS ARBITRAGE'!$H74,'4-TARIFS ARBITRAGE'!$F74),IF(J$4="N-1 Respectée",'4-TARIFS ARBITRAGE'!$F74,'4-TARIFS ARBITRAGE'!$D74))),(IF(H$4="N-1 Respectée",(IF(J$4="N-1 Respectée",'4-TARIFS ARBITRAGE'!$F74,'4-TARIFS ARBITRAGE'!$D74)),IF(J$4="N-1 Respectée",'4-TARIFS ARBITRAGE'!$D74,'4-TARIFS ARBITRAGE'!$C74))))</f>
        <v>23.07</v>
      </c>
      <c r="K41" s="79"/>
      <c r="L41" s="82"/>
    </row>
    <row r="42" customFormat="false" ht="13.8" hidden="false" customHeight="false" outlineLevel="0" collapsed="false">
      <c r="A42" s="54" t="str">
        <f aca="false">'4-TARIFS ARBITRAGE'!A75</f>
        <v>HBGD037 - Avulsion 2 dents temporaires</v>
      </c>
      <c r="B42" s="55" t="n">
        <v>0</v>
      </c>
      <c r="C42" s="78" t="n">
        <f aca="false">'4-TARIFS ARBITRAGE'!B75</f>
        <v>25.08</v>
      </c>
      <c r="D42" s="79" t="n">
        <f aca="false">'4-TARIFS ARBITRAGE'!C75</f>
        <v>34.61</v>
      </c>
      <c r="E42" s="79"/>
      <c r="F42" s="79" t="n">
        <f aca="false">IF(F$4="N-1 Respectée",'4-TARIFS ARBITRAGE'!$D75,'4-TARIFS ARBITRAGE'!$E75)</f>
        <v>34.61</v>
      </c>
      <c r="G42" s="79"/>
      <c r="H42" s="79" t="n">
        <f aca="false">IF(F$4="N-1 Respectée",IF(H$4="N-1 Respectée",'4-TARIFS ARBITRAGE'!$F75,'4-TARIFS ARBITRAGE'!$D75),IF(H$4="N-1 Respectée",'4-TARIFS ARBITRAGE'!$D75,'4-TARIFS ARBITRAGE'!$E75))</f>
        <v>34.61</v>
      </c>
      <c r="I42" s="79"/>
      <c r="J42" s="79" t="n">
        <f aca="false">IF(F$4="N-1 Respectée",(IF(H$4="N-1 Respectée",IF(J$4="N-1 Respectée",'4-TARIFS ARBITRAGE'!$H75,'4-TARIFS ARBITRAGE'!$F75),IF(J$4="N-1 Respectée",'4-TARIFS ARBITRAGE'!$F75,'4-TARIFS ARBITRAGE'!$D75))),(IF(H$4="N-1 Respectée",(IF(J$4="N-1 Respectée",'4-TARIFS ARBITRAGE'!$F75,'4-TARIFS ARBITRAGE'!$D75)),IF(J$4="N-1 Respectée",'4-TARIFS ARBITRAGE'!$D75,'4-TARIFS ARBITRAGE'!$C75))))</f>
        <v>34.61</v>
      </c>
      <c r="K42" s="79"/>
      <c r="L42" s="83" t="s">
        <v>75</v>
      </c>
    </row>
    <row r="43" customFormat="false" ht="13.8" hidden="false" customHeight="false" outlineLevel="0" collapsed="false">
      <c r="A43" s="84" t="s">
        <v>83</v>
      </c>
      <c r="B43" s="84"/>
      <c r="C43" s="84"/>
      <c r="D43" s="77" t="n">
        <f aca="false">((D31-$C31)*$B31)+((D32-$C32)*$B32)+((D33-$C33)*$B33)+((D34-$C34)*$B34)+((D35-$C35)*$B35)+((D36-$C36)*$B36)+((D37-$C37)*$B37)+((D38-$C38)*$B38)+((D39-$C39)*$B39)+((D40-$C40)*$B40)+((D41-$C41)*$B41)+((D42-$C42)*$B42)</f>
        <v>2135.33</v>
      </c>
      <c r="E43" s="77"/>
      <c r="F43" s="77" t="n">
        <f aca="false">((F31-$C31)*$B31)+((F32-$C32)*$B32)+((F33-$C33)*$B33)+((F34-$C34)*$B34)+((F35-$C35)*$B35)+((F36-$C36)*$B36)+((F37-$C37)*$B37)+((F38-$C38)*$B38)+((F39-$C39)*$B39)+((F40-$C40)*$B40)+((F41-$C41)*$B41)+((F42-$C42)*$B42)</f>
        <v>2135.33</v>
      </c>
      <c r="G43" s="77"/>
      <c r="H43" s="77" t="n">
        <f aca="false">((H31-$C31)*$B31)+((H32-$C32)*$B32)+((H33-$C33)*$B33)+((H34-$C34)*$B34)+((H35-$C35)*$B35)+((H36-$C36)*$B36)+((H37-$C37)*$B37)+((H38-$C38)*$B38)+((H39-$C39)*$B39)+((H40-$C40)*$B40)+((H41-$C41)*$B41)+((H42-$C42)*$B42)</f>
        <v>2135.33</v>
      </c>
      <c r="I43" s="77"/>
      <c r="J43" s="77" t="n">
        <f aca="false">((J31-$C31)*$B31)+((J32-$C32)*$B32)+((J33-$C33)*$B33)+((J34-$C34)*$B34)+((J35-$C35)*$B35)+((J36-$C36)*$B36)+((J37-$C37)*$B37)+((J38-$C38)*$B38)+((J39-$C39)*$B39)+((J40-$C40)*$B40)+((J41-$C41)*$B41)+((J42-$C42)*$B42)</f>
        <v>2135.33</v>
      </c>
      <c r="K43" s="77"/>
      <c r="L43" s="77" t="n">
        <f aca="false">SUM(D43:J43)</f>
        <v>8541.32</v>
      </c>
    </row>
    <row r="44" customFormat="false" ht="13.8" hidden="false" customHeight="false" outlineLevel="0" collapsed="false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63" t="s">
        <v>75</v>
      </c>
      <c r="M44" s="85" t="s">
        <v>84</v>
      </c>
    </row>
    <row r="45" customFormat="false" ht="13.8" hidden="false" customHeight="false" outlineLevel="0" collapsed="false">
      <c r="A45" s="86" t="s">
        <v>85</v>
      </c>
      <c r="B45" s="86"/>
      <c r="C45" s="86"/>
      <c r="D45" s="77" t="n">
        <f aca="false">SUM(D28,D30,D43)</f>
        <v>-704.67</v>
      </c>
      <c r="E45" s="77"/>
      <c r="F45" s="68" t="n">
        <f aca="false">SUM(F28,F30,F43)</f>
        <v>-9230.67</v>
      </c>
      <c r="G45" s="68"/>
      <c r="H45" s="68" t="n">
        <f aca="false">SUM(H28,H30,H43)</f>
        <v>-12448.67</v>
      </c>
      <c r="I45" s="68"/>
      <c r="J45" s="68" t="n">
        <f aca="false">SUM(J28,J30,J43)</f>
        <v>-14962.67</v>
      </c>
      <c r="K45" s="68"/>
      <c r="L45" s="68" t="n">
        <f aca="false">SUM(L28,L30,L43)</f>
        <v>-37346.68</v>
      </c>
      <c r="M45" s="87" t="n">
        <f aca="false">L45/4</f>
        <v>-9336.67</v>
      </c>
    </row>
    <row r="46" customFormat="false" ht="13.8" hidden="false" customHeight="false" outlineLevel="0" collapsed="false">
      <c r="A46" s="86" t="s">
        <v>86</v>
      </c>
      <c r="B46" s="86"/>
      <c r="C46" s="86"/>
      <c r="D46" s="77" t="n">
        <f aca="false">D45*0.7</f>
        <v>-493.269</v>
      </c>
      <c r="E46" s="77"/>
      <c r="F46" s="68" t="n">
        <f aca="false">F45*0.7</f>
        <v>-6461.469</v>
      </c>
      <c r="G46" s="68"/>
      <c r="H46" s="68" t="n">
        <f aca="false">H45*0.7</f>
        <v>-8714.069</v>
      </c>
      <c r="I46" s="68"/>
      <c r="J46" s="68" t="n">
        <f aca="false">J45*0.7</f>
        <v>-10473.869</v>
      </c>
      <c r="K46" s="68"/>
      <c r="L46" s="68" t="n">
        <f aca="false">L45*0.7</f>
        <v>-26142.676</v>
      </c>
      <c r="M46" s="87" t="n">
        <f aca="false">L46/4</f>
        <v>-6535.669</v>
      </c>
    </row>
    <row r="47" customFormat="false" ht="12.8" hidden="false" customHeight="false" outlineLevel="0" collapsed="false"/>
    <row r="48" customFormat="false" ht="33.85" hidden="false" customHeight="true" outlineLevel="0" collapsed="false">
      <c r="B48" s="88" t="s">
        <v>87</v>
      </c>
      <c r="C48" s="88"/>
      <c r="D48" s="89" t="n">
        <f aca="false">M45</f>
        <v>-9336.67</v>
      </c>
      <c r="E48" s="89"/>
      <c r="F48" s="89"/>
      <c r="G48" s="89"/>
      <c r="H48" s="90" t="s">
        <v>88</v>
      </c>
      <c r="I48" s="90"/>
      <c r="J48" s="90"/>
      <c r="K48" s="91"/>
    </row>
    <row r="49" customFormat="false" ht="33.85" hidden="false" customHeight="false" outlineLevel="0" collapsed="false">
      <c r="B49" s="88"/>
      <c r="C49" s="88"/>
      <c r="D49" s="89"/>
      <c r="E49" s="89"/>
      <c r="F49" s="89"/>
      <c r="G49" s="89"/>
      <c r="H49" s="90"/>
      <c r="I49" s="90"/>
      <c r="J49" s="90"/>
      <c r="K49" s="91"/>
    </row>
    <row r="50" customFormat="false" ht="33.85" hidden="false" customHeight="false" outlineLevel="0" collapsed="false">
      <c r="B50" s="88"/>
      <c r="C50" s="88"/>
      <c r="D50" s="89"/>
      <c r="E50" s="89"/>
      <c r="F50" s="89"/>
      <c r="G50" s="89"/>
      <c r="H50" s="90"/>
      <c r="I50" s="90"/>
      <c r="J50" s="90"/>
      <c r="K50" s="91"/>
    </row>
    <row r="51" customFormat="false" ht="33.85" hidden="false" customHeight="false" outlineLevel="0" collapsed="false">
      <c r="B51" s="88"/>
      <c r="C51" s="88"/>
      <c r="D51" s="89"/>
      <c r="E51" s="89"/>
      <c r="F51" s="89"/>
      <c r="G51" s="89"/>
      <c r="H51" s="90"/>
      <c r="I51" s="90"/>
      <c r="J51" s="90"/>
      <c r="K51" s="91"/>
    </row>
  </sheetData>
  <mergeCells count="11">
    <mergeCell ref="B1:J1"/>
    <mergeCell ref="A2:B2"/>
    <mergeCell ref="B3:B4"/>
    <mergeCell ref="C3:C4"/>
    <mergeCell ref="L5:L6"/>
    <mergeCell ref="A43:C43"/>
    <mergeCell ref="A45:C45"/>
    <mergeCell ref="A46:C46"/>
    <mergeCell ref="B48:C51"/>
    <mergeCell ref="D48:G51"/>
    <mergeCell ref="H48:J51"/>
  </mergeCells>
  <conditionalFormatting sqref="A5">
    <cfRule type="containsText" priority="2" operator="containsText" aboveAverage="0" equalAverage="0" bottom="0" percent="0" rank="0" text="-" dxfId="0"/>
  </conditionalFormatting>
  <conditionalFormatting sqref="A5">
    <cfRule type="notContainsText" priority="3" operator="notContains" aboveAverage="0" equalAverage="0" bottom="0" percent="0" rank="0" text="-" dxfId="1"/>
  </conditionalFormatting>
  <conditionalFormatting sqref="D28:L28 C30:L30 D43:L43 D45:M46 D48:E48">
    <cfRule type="cellIs" priority="4" operator="lessThan" aboveAverage="0" equalAverage="0" bottom="0" percent="0" rank="0" text="" dxfId="2">
      <formula>0</formula>
    </cfRule>
  </conditionalFormatting>
  <conditionalFormatting sqref="D28:L28 C30:L30 D43:L43 D45:M46 D48:E48">
    <cfRule type="cellIs" priority="5" operator="greaterThanOrEqual" aboveAverage="0" equalAverage="0" bottom="0" percent="0" rank="0" text="" dxfId="3">
      <formula>0</formula>
    </cfRule>
  </conditionalFormatting>
  <conditionalFormatting sqref="B48:C51 H48:K51">
    <cfRule type="expression" priority="6" aboveAverage="0" equalAverage="0" bottom="0" percent="0" rank="0" text="" dxfId="4">
      <formula>LEN(TRIM(B48))&gt;0</formula>
    </cfRule>
  </conditionalFormatting>
  <dataValidations count="3">
    <dataValidation allowBlank="true" operator="between" showDropDown="false" showErrorMessage="false" showInputMessage="false" sqref="C2" type="list">
      <formula1>'2-IMPACT ARBITRAGE détaillé'!$O$3:$O$4</formula1>
      <formula2>0</formula2>
    </dataValidation>
    <dataValidation allowBlank="true" operator="between" showDropDown="false" showErrorMessage="false" showInputMessage="false" sqref="C3" type="list">
      <formula1>'2-IMPACT ARBITRAGE détaillé'!$P$3:$P$4</formula1>
      <formula2>0</formula2>
    </dataValidation>
    <dataValidation allowBlank="true" operator="between" showDropDown="false" showErrorMessage="false" showInputMessage="false" sqref="F3:K4" type="list">
      <formula1>'2-IMPACT ARBITRAGE détaillé'!$N$3:$N$4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5" activeCellId="0" sqref="J45"/>
    </sheetView>
  </sheetViews>
  <sheetFormatPr defaultRowHeight="15.75" zeroHeight="false" outlineLevelRow="0" outlineLevelCol="0"/>
  <cols>
    <col collapsed="false" customWidth="true" hidden="false" outlineLevel="0" max="1" min="1" style="0" width="112.54"/>
    <col collapsed="false" customWidth="true" hidden="false" outlineLevel="0" max="2" min="2" style="0" width="22.51"/>
    <col collapsed="false" customWidth="true" hidden="false" outlineLevel="0" max="3" min="3" style="0" width="22.23"/>
    <col collapsed="false" customWidth="true" hidden="true" outlineLevel="0" max="6" min="4" style="0" width="20.14"/>
    <col collapsed="false" customWidth="true" hidden="false" outlineLevel="0" max="7" min="7" style="0" width="20.14"/>
    <col collapsed="false" customWidth="true" hidden="false" outlineLevel="0" max="8" min="8" style="0" width="19.86"/>
    <col collapsed="false" customWidth="true" hidden="false" outlineLevel="0" max="1025" min="9" style="0" width="14.43"/>
  </cols>
  <sheetData>
    <row r="1" customFormat="false" ht="13.8" hidden="false" customHeight="false" outlineLevel="0" collapsed="false">
      <c r="A1" s="25" t="s">
        <v>89</v>
      </c>
      <c r="B1" s="26" t="s">
        <v>90</v>
      </c>
      <c r="C1" s="26"/>
      <c r="D1" s="26"/>
      <c r="E1" s="26"/>
      <c r="F1" s="26"/>
      <c r="G1" s="26"/>
      <c r="H1" s="23"/>
    </row>
    <row r="2" customFormat="false" ht="55.45" hidden="false" customHeight="true" outlineLevel="0" collapsed="false">
      <c r="A2" s="27" t="s">
        <v>91</v>
      </c>
      <c r="B2" s="27"/>
      <c r="C2" s="28" t="s">
        <v>52</v>
      </c>
      <c r="D2" s="29" t="str">
        <f aca="false">'2-IMPACT ARBITRAGE détaillé'!D2</f>
        <v>PLAFONDS REVALORISATIONS</v>
      </c>
      <c r="E2" s="29" t="str">
        <f aca="false">'2-IMPACT ARBITRAGE détaillé'!F2</f>
        <v>PLAFONDS REVALORISATIONS</v>
      </c>
      <c r="F2" s="29" t="str">
        <f aca="false">'2-IMPACT ARBITRAGE détaillé'!H2</f>
        <v>PLAFONDS REVALORISATIONS</v>
      </c>
      <c r="G2" s="29" t="str">
        <f aca="false">'2-IMPACT ARBITRAGE détaillé'!J2</f>
        <v>PLAFONDS REVALORISATIONS</v>
      </c>
      <c r="H2" s="31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customFormat="false" ht="13.8" hidden="false" customHeight="false" outlineLevel="0" collapsed="false">
      <c r="A3" s="92" t="str">
        <f aca="false">'2-IMPACT ARBITRAGE détaillé'!A3</f>
        <v>Clause sur les HONORAIRES A ENTENTE DIRECTE année N-1 : agit sur les plafonds des prothèses D7 à G22</v>
      </c>
      <c r="B3" s="93" t="s">
        <v>92</v>
      </c>
      <c r="C3" s="94" t="s">
        <v>58</v>
      </c>
      <c r="D3" s="95"/>
      <c r="E3" s="57" t="str">
        <f aca="false">$C3</f>
        <v>N-1 non respectée</v>
      </c>
      <c r="F3" s="57" t="str">
        <f aca="false">$C3</f>
        <v>N-1 non respectée</v>
      </c>
      <c r="G3" s="96" t="str">
        <f aca="false">$C3</f>
        <v>N-1 non respectée</v>
      </c>
    </row>
    <row r="4" customFormat="false" ht="13.8" hidden="false" customHeight="false" outlineLevel="0" collapsed="false">
      <c r="A4" s="97" t="str">
        <f aca="false">'2-IMPACT ARBITRAGE détaillé'!A4</f>
        <v>Clause sur les HONORAIRES REMBOURSES TOTAUX année N-1 : agit sur les revalorisations des soins D26 à G37</v>
      </c>
      <c r="B4" s="98" t="s">
        <v>92</v>
      </c>
      <c r="C4" s="94" t="s">
        <v>58</v>
      </c>
      <c r="D4" s="99"/>
      <c r="E4" s="57" t="str">
        <f aca="false">$C4</f>
        <v>N-1 non respectée</v>
      </c>
      <c r="F4" s="57" t="str">
        <f aca="false">$C4</f>
        <v>N-1 non respectée</v>
      </c>
      <c r="G4" s="52" t="str">
        <f aca="false">$C4</f>
        <v>N-1 non respectée</v>
      </c>
      <c r="H4" s="44"/>
    </row>
    <row r="5" customFormat="false" ht="25.45" hidden="false" customHeight="true" outlineLevel="0" collapsed="false">
      <c r="A5" s="45" t="str">
        <f aca="false">IF(I45&lt;0,CONCATENATE("Soit ",ROUND(I45,0)," € de CA par an, en moyenne sur 4 ans (2018 à 2021) par rapport à 2017"),CONCATENATE("Soit +",ROUND(I45,0)," € de CA par an, en moyenne sur 4 ans (2018 à 2021) par rapport à 2017"))</f>
        <v>Soit -9337 € de CA par an, en moyenne sur 4 ans (2018 à 2021) par rapport à 2017</v>
      </c>
      <c r="B5" s="46" t="str">
        <f aca="false">'2-IMPACT ARBITRAGE détaillé'!B5</f>
        <v>Données 2016 transposées à 2017</v>
      </c>
      <c r="C5" s="100" t="s">
        <v>56</v>
      </c>
      <c r="D5" s="101" t="n">
        <f aca="false">'2-IMPACT ARBITRAGE détaillé'!D5</f>
        <v>2018</v>
      </c>
      <c r="E5" s="101" t="n">
        <f aca="false">'2-IMPACT ARBITRAGE détaillé'!F5</f>
        <v>2019</v>
      </c>
      <c r="F5" s="101" t="n">
        <f aca="false">'2-IMPACT ARBITRAGE détaillé'!H5</f>
        <v>2020</v>
      </c>
      <c r="G5" s="102" t="n">
        <f aca="false">'2-IMPACT ARBITRAGE détaillé'!J5</f>
        <v>2021</v>
      </c>
      <c r="H5" s="49" t="s">
        <v>65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customFormat="false" ht="13.8" hidden="false" customHeight="false" outlineLevel="0" collapsed="false">
      <c r="A6" s="103" t="str">
        <f aca="false">'2-IMPACT ARBITRAGE détaillé'!A6</f>
        <v>ACTES :</v>
      </c>
      <c r="B6" s="51" t="str">
        <f aca="false">'2-IMPACT ARBITRAGE détaillé'!B6</f>
        <v>REALISES en 2016</v>
      </c>
      <c r="C6" s="51" t="str">
        <f aca="false">'2-IMPACT ARBITRAGE détaillé'!C6</f>
        <v>TARIFS 2017</v>
      </c>
      <c r="D6" s="57" t="str">
        <f aca="false">'2-IMPACT ARBITRAGE détaillé'!D6</f>
        <v>TARIFS</v>
      </c>
      <c r="E6" s="57" t="str">
        <f aca="false">'2-IMPACT ARBITRAGE détaillé'!F6</f>
        <v>TARIFS</v>
      </c>
      <c r="F6" s="57" t="str">
        <f aca="false">'2-IMPACT ARBITRAGE détaillé'!H6</f>
        <v>TARIFS</v>
      </c>
      <c r="G6" s="96" t="str">
        <f aca="false">'2-IMPACT ARBITRAGE détaillé'!J6</f>
        <v>TARIFS</v>
      </c>
      <c r="H6" s="49"/>
    </row>
    <row r="7" customFormat="false" ht="13.8" hidden="false" customHeight="false" outlineLevel="0" collapsed="false">
      <c r="A7" s="54" t="str">
        <f aca="false">'2-IMPACT ARBITRAGE détaillé'!A7</f>
        <v>HBLD007 - TFM Tenon Faux Moignon sans clavette</v>
      </c>
      <c r="B7" s="104" t="n">
        <f aca="false">'2-IMPACT ARBITRAGE détaillé'!B7</f>
        <v>73</v>
      </c>
      <c r="C7" s="60" t="n">
        <f aca="false">'2-IMPACT ARBITRAGE détaillé'!C7</f>
        <v>280</v>
      </c>
      <c r="D7" s="57" t="n">
        <f aca="false">IF($C$2="Province",'4-TARIFS ARBITRAGE'!$C4,'4-TARIFS ARBITRAGE'!$C34)</f>
        <v>250</v>
      </c>
      <c r="E7" s="57" t="n">
        <f aca="false">IF($C$2="Province",IF(E$3="N-1 Respectée",'4-TARIFS ARBITRAGE'!$D4,'4-TARIFS ARBITRAGE'!$E4),IF(E$3="N-1 Non respectée",'4-TARIFS ARBITRAGE'!$E34,'4-TARIFS ARBITRAGE'!$D34))</f>
        <v>202</v>
      </c>
      <c r="F7" s="57" t="n">
        <f aca="false">IF($C$2="Province",IF(F$3="N-1 Respectée",'4-TARIFS ARBITRAGE'!$F4,'4-TARIFS ARBITRAGE'!$G4),IF(F$3="N-1 Non respectée",'4-TARIFS ARBITRAGE'!$G34,'4-TARIFS ARBITRAGE'!$F34))</f>
        <v>182</v>
      </c>
      <c r="G7" s="57" t="n">
        <f aca="false">IF($C$2="Province",IF(G$3="N-1 Respectée",'4-TARIFS ARBITRAGE'!$H4,'4-TARIFS ARBITRAGE'!$I4),IF(G$3="N-1 Non respectée",'4-TARIFS ARBITRAGE'!$I34,'4-TARIFS ARBITRAGE'!$H34))</f>
        <v>182</v>
      </c>
      <c r="H7" s="58"/>
    </row>
    <row r="8" customFormat="false" ht="13.8" hidden="false" customHeight="false" outlineLevel="0" collapsed="false">
      <c r="A8" s="54" t="str">
        <f aca="false">'2-IMPACT ARBITRAGE détaillé'!A8</f>
        <v>HBLD261 - TFM Tenon Faux Moignon avec clavette</v>
      </c>
      <c r="B8" s="104" t="n">
        <f aca="false">'2-IMPACT ARBITRAGE détaillé'!B8</f>
        <v>0</v>
      </c>
      <c r="C8" s="60" t="n">
        <f aca="false">'2-IMPACT ARBITRAGE détaillé'!C8</f>
        <v>300</v>
      </c>
      <c r="D8" s="57" t="n">
        <f aca="false">IF($C$2="Province",'4-TARIFS ARBITRAGE'!$C5,'4-TARIFS ARBITRAGE'!$C35)</f>
        <v>280</v>
      </c>
      <c r="E8" s="57" t="n">
        <f aca="false">IF($C$2="Province",IF(E$3="N-1 Respectée",'4-TARIFS ARBITRAGE'!$D5,'4-TARIFS ARBITRAGE'!$E5),IF(E$3="N-1 Non respectée",'4-TARIFS ARBITRAGE'!$E35,'4-TARIFS ARBITRAGE'!$D35))</f>
        <v>230</v>
      </c>
      <c r="F8" s="57" t="n">
        <f aca="false">IF($C$2="Province",IF(F$3="N-1 Respectée",'4-TARIFS ARBITRAGE'!$F5,'4-TARIFS ARBITRAGE'!$G5),IF(F$3="N-1 Non respectée",'4-TARIFS ARBITRAGE'!$G35,'4-TARIFS ARBITRAGE'!$F35))</f>
        <v>187</v>
      </c>
      <c r="G8" s="57" t="n">
        <f aca="false">IF($C$2="Province",IF(G$3="N-1 Respectée",'4-TARIFS ARBITRAGE'!$H5,'4-TARIFS ARBITRAGE'!$I5),IF(G$3="N-1 Non respectée",'4-TARIFS ARBITRAGE'!$I35,'4-TARIFS ARBITRAGE'!$H35))</f>
        <v>187</v>
      </c>
      <c r="H8" s="58"/>
    </row>
    <row r="9" customFormat="false" ht="13.8" hidden="false" customHeight="false" outlineLevel="0" collapsed="false">
      <c r="A9" s="54" t="str">
        <f aca="false">'2-IMPACT ARBITRAGE détaillé'!A9</f>
        <v>HBLD037 - Couronne Provisoire</v>
      </c>
      <c r="B9" s="104" t="n">
        <f aca="false">'2-IMPACT ARBITRAGE détaillé'!B9</f>
        <v>50</v>
      </c>
      <c r="C9" s="60" t="n">
        <f aca="false">'2-IMPACT ARBITRAGE détaillé'!C9</f>
        <v>50</v>
      </c>
      <c r="D9" s="57" t="n">
        <f aca="false">IF($C$2="Province",'4-TARIFS ARBITRAGE'!$C6,'4-TARIFS ARBITRAGE'!$C36)</f>
        <v>60</v>
      </c>
      <c r="E9" s="57" t="n">
        <f aca="false">IF($C$2="Province",IF(E$3="N-1 Respectée",'4-TARIFS ARBITRAGE'!$D6,'4-TARIFS ARBITRAGE'!$E6),IF(E$3="N-1 Non respectée",'4-TARIFS ARBITRAGE'!$E36,'4-TARIFS ARBITRAGE'!$D36))</f>
        <v>58</v>
      </c>
      <c r="F9" s="57" t="n">
        <f aca="false">IF($C$2="Province",IF(F$3="N-1 Respectée",'4-TARIFS ARBITRAGE'!$F6,'4-TARIFS ARBITRAGE'!$G6),IF(F$3="N-1 Non respectée",'4-TARIFS ARBITRAGE'!$G36,'4-TARIFS ARBITRAGE'!$F36))</f>
        <v>58</v>
      </c>
      <c r="G9" s="57" t="n">
        <f aca="false">IF($C$2="Province",IF(G$3="N-1 Respectée",'4-TARIFS ARBITRAGE'!$H6,'4-TARIFS ARBITRAGE'!$I6),IF(G$3="N-1 Non respectée",'4-TARIFS ARBITRAGE'!$I36,'4-TARIFS ARBITRAGE'!$H36))</f>
        <v>58</v>
      </c>
      <c r="H9" s="58"/>
    </row>
    <row r="10" customFormat="false" ht="13.8" hidden="false" customHeight="false" outlineLevel="0" collapsed="false">
      <c r="A10" s="54" t="str">
        <f aca="false">'2-IMPACT ARBITRAGE détaillé'!A10</f>
        <v>HBLD038 - CM Couronne Métallique</v>
      </c>
      <c r="B10" s="104" t="n">
        <f aca="false">'2-IMPACT ARBITRAGE détaillé'!B10</f>
        <v>8</v>
      </c>
      <c r="C10" s="60" t="n">
        <f aca="false">'2-IMPACT ARBITRAGE détaillé'!C10</f>
        <v>400</v>
      </c>
      <c r="D10" s="57" t="n">
        <f aca="false">IF($C$2="Province",'4-TARIFS ARBITRAGE'!$C7,'4-TARIFS ARBITRAGE'!$C37)</f>
        <v>350</v>
      </c>
      <c r="E10" s="57" t="n">
        <f aca="false">IF($C$2="Province",IF(E$3="N-1 Respectée",'4-TARIFS ARBITRAGE'!$D7,'4-TARIFS ARBITRAGE'!$E7),IF(E$3="N-1 Non respectée",'4-TARIFS ARBITRAGE'!$E37,'4-TARIFS ARBITRAGE'!$D37))</f>
        <v>307</v>
      </c>
      <c r="F10" s="57" t="n">
        <f aca="false">IF($C$2="Province",IF(F$3="N-1 Respectée",'4-TARIFS ARBITRAGE'!$F7,'4-TARIFS ARBITRAGE'!$G7),IF(F$3="N-1 Non respectée",'4-TARIFS ARBITRAGE'!$G37,'4-TARIFS ARBITRAGE'!$F37))</f>
        <v>288</v>
      </c>
      <c r="G10" s="57" t="n">
        <f aca="false">IF($C$2="Province",IF(G$3="N-1 Respectée",'4-TARIFS ARBITRAGE'!$H7,'4-TARIFS ARBITRAGE'!$I7),IF(G$3="N-1 Non respectée",'4-TARIFS ARBITRAGE'!$I37,'4-TARIFS ARBITRAGE'!$H37))</f>
        <v>278</v>
      </c>
      <c r="H10" s="58"/>
    </row>
    <row r="11" customFormat="false" ht="13.8" hidden="false" customHeight="false" outlineLevel="0" collapsed="false">
      <c r="A11" s="54" t="str">
        <f aca="false">'2-IMPACT ARBITRAGE détaillé'!A11</f>
        <v>HBLD036 - CCM Couronne Céramo-Métallique</v>
      </c>
      <c r="B11" s="104" t="n">
        <f aca="false">'2-IMPACT ARBITRAGE détaillé'!B11</f>
        <v>91</v>
      </c>
      <c r="C11" s="60" t="n">
        <f aca="false">'2-IMPACT ARBITRAGE détaillé'!C11</f>
        <v>560</v>
      </c>
      <c r="D11" s="57" t="n">
        <f aca="false">IF($C$2="Province",'4-TARIFS ARBITRAGE'!$C8,'4-TARIFS ARBITRAGE'!$C38)</f>
        <v>550</v>
      </c>
      <c r="E11" s="57" t="n">
        <f aca="false">IF($C$2="Province",IF(E$3="N-1 Respectée",'4-TARIFS ARBITRAGE'!$D8,'4-TARIFS ARBITRAGE'!$E8),IF(E$3="N-1 Non respectée",'4-TARIFS ARBITRAGE'!$E38,'4-TARIFS ARBITRAGE'!$D38))</f>
        <v>509</v>
      </c>
      <c r="F11" s="57" t="n">
        <f aca="false">IF($C$2="Province",IF(F$3="N-1 Respectée",'4-TARIFS ARBITRAGE'!$F8,'4-TARIFS ARBITRAGE'!$G8),IF(F$3="N-1 Non respectée",'4-TARIFS ARBITRAGE'!$G38,'4-TARIFS ARBITRAGE'!$F38))</f>
        <v>490</v>
      </c>
      <c r="G11" s="57" t="n">
        <f aca="false">IF($C$2="Province",IF(G$3="N-1 Respectée",'4-TARIFS ARBITRAGE'!$H8,'4-TARIFS ARBITRAGE'!$I8),IF(G$3="N-1 Non respectée",'4-TARIFS ARBITRAGE'!$I38,'4-TARIFS ARBITRAGE'!$H38))</f>
        <v>490</v>
      </c>
      <c r="H11" s="58"/>
    </row>
    <row r="12" customFormat="false" ht="13.8" hidden="false" customHeight="false" outlineLevel="0" collapsed="false">
      <c r="A12" s="54" t="str">
        <f aca="false">'2-IMPACT ARBITRAGE détaillé'!A12</f>
        <v>CCAM ? - CCC Couronne Céramo-Céramique</v>
      </c>
      <c r="B12" s="104" t="n">
        <f aca="false">'2-IMPACT ARBITRAGE détaillé'!B12</f>
        <v>0</v>
      </c>
      <c r="C12" s="60" t="n">
        <f aca="false">'2-IMPACT ARBITRAGE détaillé'!C12</f>
        <v>600</v>
      </c>
      <c r="D12" s="57" t="n">
        <f aca="false">IF($C$2="Province",'4-TARIFS ARBITRAGE'!$C9,'4-TARIFS ARBITRAGE'!$C39)</f>
        <v>590</v>
      </c>
      <c r="E12" s="57" t="n">
        <f aca="false">IF($C$2="Province",IF(E$3="N-1 Respectée",'4-TARIFS ARBITRAGE'!$D9,'4-TARIFS ARBITRAGE'!$E9),IF(E$3="N-1 Non respectée",'4-TARIFS ARBITRAGE'!$E39,'4-TARIFS ARBITRAGE'!$D39))</f>
        <v>570</v>
      </c>
      <c r="F12" s="57" t="n">
        <f aca="false">IF($C$2="Province",IF(F$3="N-1 Respectée",'4-TARIFS ARBITRAGE'!$F9,'4-TARIFS ARBITRAGE'!$G9),IF(F$3="N-1 Non respectée",'4-TARIFS ARBITRAGE'!$G39,'4-TARIFS ARBITRAGE'!$F39))</f>
        <v>550</v>
      </c>
      <c r="G12" s="57" t="n">
        <f aca="false">IF($C$2="Province",IF(G$3="N-1 Respectée",'4-TARIFS ARBITRAGE'!$H9,'4-TARIFS ARBITRAGE'!$I9),IF(G$3="N-1 Non respectée",'4-TARIFS ARBITRAGE'!$I39,'4-TARIFS ARBITRAGE'!$H39))</f>
        <v>550</v>
      </c>
      <c r="H12" s="59"/>
    </row>
    <row r="13" customFormat="false" ht="13.8" hidden="false" customHeight="false" outlineLevel="0" collapsed="false">
      <c r="A13" s="54" t="str">
        <f aca="false">'2-IMPACT ARBITRAGE détaillé'!A13</f>
        <v>HBMD055 - Inlay-Onlay 3 faces</v>
      </c>
      <c r="B13" s="104" t="n">
        <f aca="false">'2-IMPACT ARBITRAGE détaillé'!B13</f>
        <v>3</v>
      </c>
      <c r="C13" s="60" t="n">
        <f aca="false">'2-IMPACT ARBITRAGE détaillé'!C13</f>
        <v>350</v>
      </c>
      <c r="D13" s="57" t="n">
        <f aca="false">C13</f>
        <v>350</v>
      </c>
      <c r="E13" s="57" t="n">
        <f aca="false">IF($C$2="Province",IF(E$3="N-1 Respectée",'4-TARIFS ARBITRAGE'!$D10,'4-TARIFS ARBITRAGE'!$E10),IF(E$3="N-1 Non respectée",'4-TARIFS ARBITRAGE'!$E40,'4-TARIFS ARBITRAGE'!$D40))</f>
        <v>283</v>
      </c>
      <c r="F13" s="57" t="n">
        <f aca="false">IF($C$2="Province",IF(F$3="N-1 Respectée",'4-TARIFS ARBITRAGE'!$F10,'4-TARIFS ARBITRAGE'!$G10),IF(F$3="N-1 Non respectée",'4-TARIFS ARBITRAGE'!$G40,'4-TARIFS ARBITRAGE'!$F40))</f>
        <v>283</v>
      </c>
      <c r="G13" s="57" t="n">
        <f aca="false">IF($C$2="Province",IF(G$3="N-1 Respectée",'4-TARIFS ARBITRAGE'!$H10,'4-TARIFS ARBITRAGE'!$I10),IF(G$3="N-1 Non respectée",'4-TARIFS ARBITRAGE'!$I40,'4-TARIFS ARBITRAGE'!$H40))</f>
        <v>283</v>
      </c>
      <c r="H13" s="59"/>
    </row>
    <row r="14" customFormat="false" ht="13.8" hidden="false" customHeight="false" outlineLevel="0" collapsed="false">
      <c r="A14" s="54" t="str">
        <f aca="false">'2-IMPACT ARBITRAGE détaillé'!A14</f>
        <v>HBLD023 - Bridge 3 CCM</v>
      </c>
      <c r="B14" s="104" t="n">
        <f aca="false">'2-IMPACT ARBITRAGE détaillé'!B14</f>
        <v>4</v>
      </c>
      <c r="C14" s="60" t="n">
        <f aca="false">'2-IMPACT ARBITRAGE détaillé'!C14</f>
        <v>1680</v>
      </c>
      <c r="D14" s="57" t="n">
        <f aca="false">IF($C$5="Tarifs personnels",IF($C11&lt;D11,$C11*3,D11*3),D11*3)</f>
        <v>1650</v>
      </c>
      <c r="E14" s="57" t="n">
        <f aca="false">IF($C$5="Tarifs personnels",IF($C11&lt;E11,$C11*3,E11*3),E11*3)</f>
        <v>1527</v>
      </c>
      <c r="F14" s="57" t="n">
        <f aca="false">IF($C$2="Province",IF(F$3="N-1 Respectée",'4-TARIFS ARBITRAGE'!$F11,'4-TARIFS ARBITRAGE'!$G11),IF(F$3="N-1 Non respectée",'4-TARIFS ARBITRAGE'!$G41,'4-TARIFS ARBITRAGE'!$F41))</f>
        <v>1555</v>
      </c>
      <c r="G14" s="57" t="n">
        <f aca="false">IF($C$2="Province",IF(G$3="N-1 Respectée",'4-TARIFS ARBITRAGE'!$H11,'4-TARIFS ARBITRAGE'!$I11),IF(G$3="N-1 Non respectée",'4-TARIFS ARBITRAGE'!$I41,'4-TARIFS ARBITRAGE'!$H41))</f>
        <v>1392</v>
      </c>
      <c r="H14" s="59"/>
    </row>
    <row r="15" customFormat="false" ht="13.8" hidden="false" customHeight="false" outlineLevel="0" collapsed="false">
      <c r="A15" s="54" t="str">
        <f aca="false">'2-IMPACT ARBITRAGE détaillé'!A15</f>
        <v>HBLD043 - Bridge 2 CCM + 1 CM</v>
      </c>
      <c r="B15" s="104" t="n">
        <f aca="false">'2-IMPACT ARBITRAGE détaillé'!B15</f>
        <v>0</v>
      </c>
      <c r="C15" s="60" t="n">
        <f aca="false">'2-IMPACT ARBITRAGE détaillé'!C15</f>
        <v>1520</v>
      </c>
      <c r="D15" s="57" t="n">
        <f aca="false">IF($C$5="Tarifs personnels",IF($C11&lt;D11,($C11*2)+IF($C10&lt;D10,$C10,D10),(D11*2)+IF($C10&lt;D10,$C10,D10)),(D11*2)+D10)</f>
        <v>1450</v>
      </c>
      <c r="E15" s="57" t="n">
        <f aca="false">IF($C$5="Tarifs personnels",IF($C11&lt;E11,($C11*2)+IF($C10&lt;E10,$C10,E10),(E11*2)+IF($C10&lt;E10,$C10,E10)),(E11*2)+E10)</f>
        <v>1325</v>
      </c>
      <c r="F15" s="57" t="n">
        <f aca="false">IF($C$2="Province",IF(F$3="N-1 Respectée",'4-TARIFS ARBITRAGE'!$F13,'4-TARIFS ARBITRAGE'!$G13),IF(F$3="N-1 Non respectée",'4-TARIFS ARBITRAGE'!$G43,'4-TARIFS ARBITRAGE'!$F43))</f>
        <v>1344</v>
      </c>
      <c r="G15" s="57" t="n">
        <f aca="false">IF($C$2="Province",IF(G$3="N-1 Respectée",'4-TARIFS ARBITRAGE'!$H13,'4-TARIFS ARBITRAGE'!$I13),IF(G$3="N-1 Non respectée",'4-TARIFS ARBITRAGE'!$I43,'4-TARIFS ARBITRAGE'!$H43))</f>
        <v>1210</v>
      </c>
      <c r="H15" s="59"/>
    </row>
    <row r="16" customFormat="false" ht="13.8" hidden="false" customHeight="false" outlineLevel="0" collapsed="false">
      <c r="A16" s="54" t="str">
        <f aca="false">'2-IMPACT ARBITRAGE détaillé'!A16</f>
        <v>HBLD040 - Bridge 1 CCM + 2 CM</v>
      </c>
      <c r="B16" s="104" t="n">
        <f aca="false">'2-IMPACT ARBITRAGE détaillé'!B16</f>
        <v>0</v>
      </c>
      <c r="C16" s="60" t="n">
        <f aca="false">'2-IMPACT ARBITRAGE détaillé'!C16</f>
        <v>1360</v>
      </c>
      <c r="D16" s="57" t="n">
        <f aca="false">IF($C$5="Tarifs personnels",IF($C11&lt;D11,$C11+IF($C10&lt;D10,$C10*2,D10*2),D11+IF($C10&lt;D10,$C10*2,D10*2)),D11+(D10*2))</f>
        <v>1250</v>
      </c>
      <c r="E16" s="57" t="n">
        <f aca="false">IF($C$5="Tarifs personnels",IF($C11&lt;E11,$C11+IF($C10&lt;E10,$C10*2,E10*2),E11+IF($C10&lt;E10,$C10*2,E10*2)),E11+(E10*2))</f>
        <v>1123</v>
      </c>
      <c r="F16" s="57" t="n">
        <f aca="false">IF($C$2="Province",IF(F$3="N-1 Respectée",'4-TARIFS ARBITRAGE'!$F15,'4-TARIFS ARBITRAGE'!$G15),IF(F$3="N-1 Non respectée",'4-TARIFS ARBITRAGE'!$G45,'4-TARIFS ARBITRAGE'!$F45))</f>
        <v>1128</v>
      </c>
      <c r="G16" s="57" t="n">
        <f aca="false">IF($C$2="Province",IF(G$3="N-1 Respectée",'4-TARIFS ARBITRAGE'!$H15,'4-TARIFS ARBITRAGE'!$I15),IF(G$3="N-1 Non respectée",'4-TARIFS ARBITRAGE'!$I45,'4-TARIFS ARBITRAGE'!$H45))</f>
        <v>1027</v>
      </c>
      <c r="H16" s="59"/>
    </row>
    <row r="17" customFormat="false" ht="13.8" hidden="false" customHeight="false" outlineLevel="0" collapsed="false">
      <c r="A17" s="54" t="str">
        <f aca="false">'2-IMPACT ARBITRAGE détaillé'!A17</f>
        <v>HBLD033 - Bridge 3 CM</v>
      </c>
      <c r="B17" s="104" t="n">
        <f aca="false">'2-IMPACT ARBITRAGE détaillé'!B17</f>
        <v>1</v>
      </c>
      <c r="C17" s="60" t="n">
        <f aca="false">'2-IMPACT ARBITRAGE détaillé'!C17</f>
        <v>1200</v>
      </c>
      <c r="D17" s="57" t="n">
        <f aca="false">IF($C$5="Tarifs personnels",IF($C10&lt;D10,$C10*3,D10*3),D10*3)</f>
        <v>1050</v>
      </c>
      <c r="E17" s="57" t="n">
        <f aca="false">IF($C$5="Tarifs personnels",IF($C10&lt;E10,$C10*3,E10*3),E10*3)</f>
        <v>921</v>
      </c>
      <c r="F17" s="57" t="n">
        <f aca="false">IF($C$2="Province",IF(F$3="N-1 Respectée",'4-TARIFS ARBITRAGE'!$F17,'4-TARIFS ARBITRAGE'!$G17),IF(F$3="N-1 Non respectée",'4-TARIFS ARBITRAGE'!$G47,'4-TARIFS ARBITRAGE'!$F47))</f>
        <v>922</v>
      </c>
      <c r="G17" s="57" t="n">
        <f aca="false">IF($C$2="Province",IF(G$3="N-1 Respectée",'4-TARIFS ARBITRAGE'!$H17,'4-TARIFS ARBITRAGE'!$I17),IF(G$3="N-1 Non respectée",'4-TARIFS ARBITRAGE'!$I47,'4-TARIFS ARBITRAGE'!$H47))</f>
        <v>821</v>
      </c>
      <c r="H17" s="59" t="s">
        <v>68</v>
      </c>
    </row>
    <row r="18" customFormat="false" ht="13.8" hidden="false" customHeight="false" outlineLevel="0" collapsed="false">
      <c r="A18" s="54" t="str">
        <f aca="false">'2-IMPACT ARBITRAGE détaillé'!A18</f>
        <v>HBMD087 - Pilier de bridge Céramo-Métallique supplémentaire</v>
      </c>
      <c r="B18" s="104" t="n">
        <f aca="false">'2-IMPACT ARBITRAGE détaillé'!B18</f>
        <v>1</v>
      </c>
      <c r="C18" s="60" t="n">
        <f aca="false">'2-IMPACT ARBITRAGE détaillé'!C18</f>
        <v>560</v>
      </c>
      <c r="D18" s="57" t="n">
        <f aca="false">IF($C$5="Tarifs personnels",IF($C11&lt;D11,$C11,D11),D11)</f>
        <v>550</v>
      </c>
      <c r="E18" s="57" t="n">
        <f aca="false">IF($C$5="Tarifs personnels",IF($C11&lt;E11,$C11,E11),E11)</f>
        <v>509</v>
      </c>
      <c r="F18" s="57" t="n">
        <f aca="false">IF($C$2="Province",IF(F$3="N-1 Respectée",'4-TARIFS ARBITRAGE'!$F19,'4-TARIFS ARBITRAGE'!$G19),IF(F$3="N-1 Non respectée",'4-TARIFS ARBITRAGE'!$G49,'4-TARIFS ARBITRAGE'!$F49))</f>
        <v>528</v>
      </c>
      <c r="G18" s="57" t="n">
        <f aca="false">IF($C$2="Province",IF(G$3="N-1 Respectée",'4-TARIFS ARBITRAGE'!$H19,'4-TARIFS ARBITRAGE'!$I19),IF(G$3="N-1 Non respectée",'4-TARIFS ARBITRAGE'!$I49,'4-TARIFS ARBITRAGE'!$H49))</f>
        <v>470</v>
      </c>
      <c r="H18" s="59" t="s">
        <v>69</v>
      </c>
    </row>
    <row r="19" customFormat="false" ht="13.8" hidden="false" customHeight="false" outlineLevel="0" collapsed="false">
      <c r="A19" s="54" t="str">
        <f aca="false">'2-IMPACT ARBITRAGE détaillé'!A19</f>
        <v>HBMD081 - Pilier de bridge Métallique supplémentaire</v>
      </c>
      <c r="B19" s="104" t="n">
        <f aca="false">'2-IMPACT ARBITRAGE détaillé'!B19</f>
        <v>0</v>
      </c>
      <c r="C19" s="60" t="n">
        <f aca="false">'2-IMPACT ARBITRAGE détaillé'!C19</f>
        <v>400</v>
      </c>
      <c r="D19" s="57" t="n">
        <f aca="false">IF($C$5="Tarifs personnels",IF($C10&lt;D10,$C10,D10),D10)</f>
        <v>350</v>
      </c>
      <c r="E19" s="57" t="n">
        <f aca="false">IF($C$5="Tarifs personnels",IF($C10&lt;E10,$C10,E10),E10)</f>
        <v>307</v>
      </c>
      <c r="F19" s="57" t="n">
        <f aca="false">IF($C$2="Province",IF(F$3="N-1 Respectée",'4-TARIFS ARBITRAGE'!$F20,'4-TARIFS ARBITRAGE'!$G20),IF(F$3="N-1 Non respectée",'4-TARIFS ARBITRAGE'!$G50,'4-TARIFS ARBITRAGE'!$F50))</f>
        <v>312</v>
      </c>
      <c r="G19" s="57" t="n">
        <f aca="false">IF($C$2="Province",IF(G$3="N-1 Respectée",'4-TARIFS ARBITRAGE'!$H20,'4-TARIFS ARBITRAGE'!$I20),IF(G$3="N-1 Non respectée",'4-TARIFS ARBITRAGE'!$I50,'4-TARIFS ARBITRAGE'!$H50))</f>
        <v>278</v>
      </c>
      <c r="H19" s="59" t="s">
        <v>70</v>
      </c>
    </row>
    <row r="20" customFormat="false" ht="13.8" hidden="false" customHeight="false" outlineLevel="0" collapsed="false">
      <c r="A20" s="54" t="str">
        <f aca="false">'2-IMPACT ARBITRAGE détaillé'!A20</f>
        <v>HBMD479 / HBMD433 / HBMD072 - Inter de bridge Céramo-Métallique supplémentaire</v>
      </c>
      <c r="B20" s="104" t="n">
        <f aca="false">'2-IMPACT ARBITRAGE détaillé'!B20</f>
        <v>1</v>
      </c>
      <c r="C20" s="60" t="n">
        <f aca="false">'2-IMPACT ARBITRAGE détaillé'!C20</f>
        <v>560</v>
      </c>
      <c r="D20" s="57" t="n">
        <f aca="false">D18</f>
        <v>550</v>
      </c>
      <c r="E20" s="57" t="n">
        <f aca="false">E18</f>
        <v>509</v>
      </c>
      <c r="F20" s="57" t="n">
        <f aca="false">IF($C$2="Province",IF(F$3="N-1 Respectée",'4-TARIFS ARBITRAGE'!$F21,'4-TARIFS ARBITRAGE'!$G21),IF(F$3="N-1 Non respectée",'4-TARIFS ARBITRAGE'!$G51,'4-TARIFS ARBITRAGE'!$F51))</f>
        <v>514</v>
      </c>
      <c r="G20" s="57" t="n">
        <f aca="false">IF($C$2="Province",IF(G$3="N-1 Respectée",'4-TARIFS ARBITRAGE'!$H21,'4-TARIFS ARBITRAGE'!$I21),IF(G$3="N-1 Non respectée",'4-TARIFS ARBITRAGE'!$I51,'4-TARIFS ARBITRAGE'!$H51))</f>
        <v>427</v>
      </c>
      <c r="H20" s="59" t="s">
        <v>71</v>
      </c>
    </row>
    <row r="21" customFormat="false" ht="13.8" hidden="false" customHeight="false" outlineLevel="0" collapsed="false">
      <c r="A21" s="54" t="str">
        <f aca="false">'2-IMPACT ARBITRAGE détaillé'!A21</f>
        <v>HBMD490 / HBMD342 / HBMD082 - Inter de bridge Métallique supplémentaire</v>
      </c>
      <c r="B21" s="104" t="n">
        <f aca="false">'2-IMPACT ARBITRAGE détaillé'!B21</f>
        <v>1</v>
      </c>
      <c r="C21" s="60" t="n">
        <f aca="false">'2-IMPACT ARBITRAGE détaillé'!C21</f>
        <v>400</v>
      </c>
      <c r="D21" s="57" t="n">
        <f aca="false">D19</f>
        <v>350</v>
      </c>
      <c r="E21" s="57" t="n">
        <f aca="false">E19</f>
        <v>307</v>
      </c>
      <c r="F21" s="57" t="n">
        <f aca="false">IF($C$2="Province",IF(F$3="N-1 Respectée",'4-TARIFS ARBITRAGE'!$F22,'4-TARIFS ARBITRAGE'!$G22),IF(F$3="N-1 Non respectée",'4-TARIFS ARBITRAGE'!$G52,'4-TARIFS ARBITRAGE'!$F52))</f>
        <v>293</v>
      </c>
      <c r="G21" s="53" t="n">
        <f aca="false">IF($C$2="Province",IF(G$3="N-1 Respectée",'4-TARIFS ARBITRAGE'!$H22,'4-TARIFS ARBITRAGE'!$I22),IF(G$3="N-1 Non respectée",'4-TARIFS ARBITRAGE'!$I52,'4-TARIFS ARBITRAGE'!$H52))</f>
        <v>259</v>
      </c>
      <c r="H21" s="59" t="s">
        <v>72</v>
      </c>
    </row>
    <row r="22" customFormat="false" ht="13.8" hidden="false" customHeight="false" outlineLevel="0" collapsed="false">
      <c r="A22" s="54" t="str">
        <f aca="false">'2-IMPACT ARBITRAGE détaillé'!A22</f>
        <v>HBLD101 - Prothèse amovible résine 9 dents</v>
      </c>
      <c r="B22" s="104" t="n">
        <f aca="false">'2-IMPACT ARBITRAGE détaillé'!B22</f>
        <v>2</v>
      </c>
      <c r="C22" s="60" t="n">
        <f aca="false">'2-IMPACT ARBITRAGE détaillé'!C22</f>
        <v>650</v>
      </c>
      <c r="D22" s="57" t="n">
        <f aca="false">C22</f>
        <v>650</v>
      </c>
      <c r="E22" s="57" t="n">
        <f aca="false">C22</f>
        <v>650</v>
      </c>
      <c r="F22" s="57" t="n">
        <f aca="false">C22</f>
        <v>650</v>
      </c>
      <c r="G22" s="105" t="n">
        <f aca="false">IF($C$2="Province",IF(G$3="N-1 Respectée",'4-TARIFS ARBITRAGE'!$H23,'4-TARIFS ARBITRAGE'!$I23),IF(G$3="N-1 Non respectée",'4-TARIFS ARBITRAGE'!$I53,'4-TARIFS ARBITRAGE'!$H53))</f>
        <v>643</v>
      </c>
      <c r="H22" s="59" t="s">
        <v>73</v>
      </c>
    </row>
    <row r="23" customFormat="false" ht="13.8" hidden="false" customHeight="false" outlineLevel="0" collapsed="false">
      <c r="A23" s="54" t="str">
        <f aca="false">'2-IMPACT ARBITRAGE détaillé'!A23</f>
        <v>HBLD138 - Prothèse amovible résine 10 dents</v>
      </c>
      <c r="B23" s="104" t="n">
        <f aca="false">'2-IMPACT ARBITRAGE détaillé'!B23</f>
        <v>1</v>
      </c>
      <c r="C23" s="60" t="n">
        <f aca="false">'2-IMPACT ARBITRAGE détaillé'!C23</f>
        <v>700</v>
      </c>
      <c r="D23" s="57" t="n">
        <f aca="false">C23</f>
        <v>700</v>
      </c>
      <c r="E23" s="57" t="n">
        <f aca="false">C23</f>
        <v>700</v>
      </c>
      <c r="F23" s="57" t="n">
        <f aca="false">C23</f>
        <v>700</v>
      </c>
      <c r="G23" s="57" t="n">
        <f aca="false">IF($C$2="Province",IF(G$3="N-1 Respectée",'4-TARIFS ARBITRAGE'!$H24,'4-TARIFS ARBITRAGE'!$I24),IF(G$3="N-1 Non respectée",'4-TARIFS ARBITRAGE'!$I54,'4-TARIFS ARBITRAGE'!$H54))</f>
        <v>682</v>
      </c>
      <c r="H23" s="59" t="s">
        <v>74</v>
      </c>
    </row>
    <row r="24" customFormat="false" ht="13.8" hidden="false" customHeight="false" outlineLevel="0" collapsed="false">
      <c r="A24" s="54" t="str">
        <f aca="false">'2-IMPACT ARBITRAGE détaillé'!A24</f>
        <v>HBLD083 - Prothèse amovible résine 11 dents</v>
      </c>
      <c r="B24" s="104" t="n">
        <f aca="false">'2-IMPACT ARBITRAGE détaillé'!B24</f>
        <v>1</v>
      </c>
      <c r="C24" s="60" t="n">
        <f aca="false">'2-IMPACT ARBITRAGE détaillé'!C24</f>
        <v>750</v>
      </c>
      <c r="D24" s="57" t="n">
        <f aca="false">C24</f>
        <v>750</v>
      </c>
      <c r="E24" s="57" t="n">
        <f aca="false">C24</f>
        <v>750</v>
      </c>
      <c r="F24" s="57" t="n">
        <f aca="false">C24</f>
        <v>750</v>
      </c>
      <c r="G24" s="57" t="n">
        <f aca="false">IF($C$2="Province",IF(G$3="N-1 Respectée",'4-TARIFS ARBITRAGE'!$H25,'4-TARIFS ARBITRAGE'!$I25),IF(G$3="N-1 Non respectée",'4-TARIFS ARBITRAGE'!$I55,'4-TARIFS ARBITRAGE'!$H55))</f>
        <v>720</v>
      </c>
      <c r="H24" s="59" t="s">
        <v>73</v>
      </c>
    </row>
    <row r="25" customFormat="false" ht="13.8" hidden="false" customHeight="false" outlineLevel="0" collapsed="false">
      <c r="A25" s="54" t="str">
        <f aca="false">'2-IMPACT ARBITRAGE détaillé'!A25</f>
        <v>HBLD370 - Prothèse amovible résine 12 dents</v>
      </c>
      <c r="B25" s="104" t="n">
        <f aca="false">'2-IMPACT ARBITRAGE détaillé'!B25</f>
        <v>1</v>
      </c>
      <c r="C25" s="60" t="n">
        <f aca="false">'2-IMPACT ARBITRAGE détaillé'!C25</f>
        <v>800</v>
      </c>
      <c r="D25" s="57" t="n">
        <f aca="false">C25</f>
        <v>800</v>
      </c>
      <c r="E25" s="57" t="n">
        <f aca="false">C25</f>
        <v>800</v>
      </c>
      <c r="F25" s="57" t="n">
        <f aca="false">C25</f>
        <v>800</v>
      </c>
      <c r="G25" s="57" t="n">
        <f aca="false">IF($C$2="Province",IF(G$3="N-1 Respectée",'4-TARIFS ARBITRAGE'!$H26,'4-TARIFS ARBITRAGE'!$I26),IF(G$3="N-1 Non respectée",'4-TARIFS ARBITRAGE'!$I56,'4-TARIFS ARBITRAGE'!$H56))</f>
        <v>768</v>
      </c>
      <c r="H25" s="59" t="s">
        <v>74</v>
      </c>
    </row>
    <row r="26" customFormat="false" ht="13.8" hidden="false" customHeight="false" outlineLevel="0" collapsed="false">
      <c r="A26" s="54" t="str">
        <f aca="false">'2-IMPACT ARBITRAGE détaillé'!A26</f>
        <v>HBLD349 - Prothèse amovible résine 13 dents</v>
      </c>
      <c r="B26" s="104" t="n">
        <f aca="false">'2-IMPACT ARBITRAGE détaillé'!B26</f>
        <v>0</v>
      </c>
      <c r="C26" s="60" t="n">
        <f aca="false">'2-IMPACT ARBITRAGE détaillé'!C26</f>
        <v>900</v>
      </c>
      <c r="D26" s="57" t="n">
        <f aca="false">C26</f>
        <v>900</v>
      </c>
      <c r="E26" s="57" t="n">
        <f aca="false">C26</f>
        <v>900</v>
      </c>
      <c r="F26" s="57" t="n">
        <f aca="false">C26</f>
        <v>900</v>
      </c>
      <c r="G26" s="57" t="n">
        <f aca="false">IF($C$2="Province",IF(G$3="N-1 Respectée",'4-TARIFS ARBITRAGE'!$H27,'4-TARIFS ARBITRAGE'!$I27),IF(G$3="N-1 Non respectée",'4-TARIFS ARBITRAGE'!$I57,'4-TARIFS ARBITRAGE'!$H57))</f>
        <v>816</v>
      </c>
      <c r="H26" s="58"/>
    </row>
    <row r="27" customFormat="false" ht="13.8" hidden="false" customHeight="false" outlineLevel="0" collapsed="false">
      <c r="A27" s="106" t="str">
        <f aca="false">'2-IMPACT ARBITRAGE détaillé'!A27</f>
        <v>HBLD031 - Prothèse amovible résine 14 dents</v>
      </c>
      <c r="B27" s="107" t="n">
        <f aca="false">'2-IMPACT ARBITRAGE détaillé'!B27</f>
        <v>22</v>
      </c>
      <c r="C27" s="108" t="n">
        <f aca="false">'2-IMPACT ARBITRAGE détaillé'!C27</f>
        <v>1010</v>
      </c>
      <c r="D27" s="57" t="n">
        <f aca="false">C27</f>
        <v>1010</v>
      </c>
      <c r="E27" s="57" t="n">
        <f aca="false">C27</f>
        <v>1010</v>
      </c>
      <c r="F27" s="57" t="n">
        <f aca="false">C27</f>
        <v>1010</v>
      </c>
      <c r="G27" s="53" t="n">
        <f aca="false">IF($C$2="Province",IF(G$3="N-1 Respectée",'4-TARIFS ARBITRAGE'!$H28,'4-TARIFS ARBITRAGE'!$I28),IF(G$3="N-1 Non respectée",'4-TARIFS ARBITRAGE'!$I58,'4-TARIFS ARBITRAGE'!$H58))</f>
        <v>946</v>
      </c>
      <c r="H27" s="63" t="s">
        <v>75</v>
      </c>
    </row>
    <row r="28" customFormat="false" ht="13.8" hidden="false" customHeight="false" outlineLevel="0" collapsed="false">
      <c r="A28" s="109" t="str">
        <f aca="false">'2-IMPACT ARBITRAGE détaillé'!A28</f>
        <v>IMPACT de la DIMINUTION des honoraires à ED sur le CA de l'année en cours par rapport au CA 2017 =&gt;</v>
      </c>
      <c r="B28" s="109"/>
      <c r="C28" s="109"/>
      <c r="D28" s="110" t="n">
        <f aca="false">IF($C$5="Tarifs personnels",IF($C7&lt;D7,0,(D7-$C7)*$B7)+IF($C8&lt;D8,0,(D8-$C8)*$B8)+IF($C9&lt;D9,0,(D9-$C9)*$B9)+IF($C10&lt;D10,0,(D10-$C10)*$B10)+IF($C11&lt;D11,0,(D11-$C11)*$B11)+IF($C12&lt;D12,0,(D12-$C12)*$B12)+IF($C13&lt;D13,0,(D13-$C13)*$B13)+IF($C14&lt;D14,0,(D14-$C14)*$B14)+IF($C15&lt;D15,0,(D15-$C15)*$B15)+IF($C16&lt;D16,0,(D16-$C16)*$B16)+IF($C17&lt;D17,0,(D17-$C17)*$B17)+IF($C18&lt;D18,0,(D18-$C18)*$B18)+IF($C19&lt;D19,0,(D19-$C19)*$B19)+IF($C20&lt;D20,0,(D20-$C20)*$B20)+IF($C21&lt;D21,0,(D21-$C21)*$B21)+IF($C22&lt;D22,0,(D22-$C22)*$B22)+IF($C23&lt;D23,0,(D23-$C23)*$B23)+IF($C24&lt;D24,0,(D24-$C24)*$B24)+IF($C25&lt;D25,0,(D25-$C25)*$B25)+IF($C26&lt;D26,0,(D26-$C26)*$B26)+IF($C27&lt;D27,0,(D27-$C27)*$B27),(D7-$C7)*$B7+(D8-$C8)*$B8+(D9-$C9)*$B9+(D10-$C10)*$B10+(D11-$C11)*$B11+(D12-$C12)*$B12+(D13-$C13)*$B13+(D14-$C14)*$B14+(D15-$C15)*$B15+(D16-$C16)*$B16+(D17-$C17)*$B17+(D18-$C18)*$B18+(D19-$C19)*$B19+(D20-$C20)*$B20+(D21-$C21)*$B21+(D22-$C22)*$B22+(D23-$C23)*$B23+(D24-$C24)*$B24+(D25-$C25)*$B25+(D26-$C26)*$B26+(D27-$C27)*$B27)</f>
        <v>-3840</v>
      </c>
      <c r="E28" s="111" t="n">
        <f aca="false">IF($C$5="Tarifs personnels",IF($C7&lt;E7,0,(E7-$C7)*$B7)+IF($C8&lt;E8,0,(E8-$C8)*$B8)+IF($C9&lt;E9,0,(E9-$C9)*$B9)+IF($C10&lt;E10,0,(E10-$C10)*$B10)+IF($C11&lt;E11,0,(E11-$C11)*$B11)+IF($C12&lt;E12,0,(E12-$C12)*$B12)+IF($C13&lt;E13,0,(E13-$C13)*$B13)+IF($C14&lt;E14,0,(E14-$C14)*$B14)+IF($C15&lt;E15,0,(E15-$C15)*$B15)+IF($C16&lt;E16,0,(E16-$C16)*$B16)+IF($C17&lt;E17,0,(E17-$C17)*$B17)+IF($C18&lt;E18,0,(E18-$C18)*$B18)+IF($C19&lt;E19,0,(E19-$C19)*$B19)+IF($C20&lt;E20,0,(E20-$C20)*$B20)+IF($C21&lt;E21,0,(E21-$C21)*$B21)+IF($C22&lt;E22,0,(E22-$C22)*$B22)+IF($C23&lt;E23,0,(E23-$C23)*$B23)+IF($C24&lt;E24,0,(E24-$C24)*$B24)+IF($C25&lt;E25,0,(E25-$C25)*$B25)+IF($C26&lt;E26,0,(E26-$C26)*$B26)+IF($C27&lt;E27,0,(E27-$C27)*$B27),(E7-$C7)*$B7+(E8-$C8)*$B8+(E9-$C9)*$B9+(E10-$C10)*$B10+(E11-$C11)*$B11+(E12-$C12)*$B12+(E13-$C13)*$B13+(E14-$C14)*$B14+(E15-$C15)*$B15+(E16-$C16)*$B16+(E17-$C17)*$B17+(E18-$C18)*$B18+(E19-$C19)*$B19+(E20-$C20)*$B20+(E21-$C21)*$B21+(E22-$C22)*$B22+(E23-$C23)*$B23+(E24-$C24)*$B24+(E25-$C25)*$B25+(E26-$C26)*$B26+(E27-$C27)*$B27)</f>
        <v>-12366</v>
      </c>
      <c r="F28" s="112" t="n">
        <f aca="false">IF($C$5="Tarifs personnels",IF($C7&lt;F7,0,(F7-$C7)*$B7)+IF($C8&lt;F8,0,(F8-$C8)*$B8)+IF($C9&lt;F9,0,(F9-$C9)*$B9)+IF($C10&lt;F10,0,(F10-$C10)*$B10)+IF($C11&lt;F11,0,(F11-$C11)*$B11)+IF($C12&lt;F12,0,(F12-$C12)*$B12)+IF($C13&lt;F13,0,(F13-$C13)*$B13)+IF($C14&lt;F14,0,(F14-$C14)*$B14)+IF($C15&lt;F15,0,(F15-$C15)*$B15)+IF($C16&lt;F16,0,(F16-$C16)*$B16)+IF($C17&lt;F17,0,(F17-$C17)*$B17)+IF($C18&lt;F18,0,(F18-$C18)*$B18)+IF($C19&lt;F19,0,(F19-$C19)*$B19)+IF($C20&lt;F20,0,(F20-$C20)*$B20)+IF($C21&lt;F21,0,(F21-$C21)*$B21)+IF($C22&lt;F22,0,(F22-$C22)*$B22)+IF($C23&lt;F23,0,(F23-$C23)*$B23)+IF($C24&lt;F24,0,(F24-$C24)*$B24)+IF($C25&lt;F25,0,(F25-$C25)*$B25)+IF($C26&lt;F26,0,(F26-$C26)*$B26)+IF($C27&lt;F27,0,(F27-$C27)*$B27),(F7-$C7)*$B7+(F8-$C8)*$B8+(F9-$C9)*$B9+(F10-$C10)*$B10+(F11-$C11)*$B11+(F12-$C12)*$B12+(F13-$C13)*$B13+(F14-$C14)*$B14+(F15-$C15)*$B15+(F16-$C16)*$B16+(F17-$C17)*$B17+(F18-$C18)*$B18+(F19-$C19)*$B19+(F20-$C20)*$B20+(F21-$C21)*$B21+(F22-$C22)*$B22+(F23-$C23)*$B23+(F24-$C24)*$B24+(F25-$C25)*$B25+(F26-$C26)*$B26+(F27-$C27)*$B27)</f>
        <v>-15584</v>
      </c>
      <c r="G28" s="112" t="n">
        <f aca="false">IF($C$5="Tarifs personnels",IF($C7&lt;G7,0,(G7-$C7)*$B7)+IF($C8&lt;G8,0,(G8-$C8)*$B8)+IF($C9&lt;G9,0,(G9-$C9)*$B9)+IF($C10&lt;G10,0,(G10-$C10)*$B10)+IF($C11&lt;G11,0,(G11-$C11)*$B11)+IF($C12&lt;G12,0,(G12-$C12)*$B12)+IF($C13&lt;G13,0,(G13-$C13)*$B13)+IF($C14&lt;G14,0,(G14-$C14)*$B14)+IF($C15&lt;G15,0,(G15-$C15)*$B15)+IF($C16&lt;G16,0,(G16-$C16)*$B16)+IF($C17&lt;G17,0,(G17-$C17)*$B17)+IF($C18&lt;G18,0,(G18-$C18)*$B18)+IF($C19&lt;G19,0,(G19-$C19)*$B19)+IF($C20&lt;G20,0,(G20-$C20)*$B20)+IF($C21&lt;G21,0,(G21-$C21)*$B21)+IF($C22&lt;G22,0,(G22-$C22)*$B22)+IF($C23&lt;G23,0,(G23-$C23)*$B23)+IF($C24&lt;G24,0,(G24-$C24)*$B24)+IF($C25&lt;G25,0,(G25-$C25)*$B25)+IF($C26&lt;G26,0,(G26-$C26)*$B26)+IF($C27&lt;G27,0,(G27-$C27)*$B27),(G7-$C7)*$B7+(G8-$C8)*$B8+(G9-$C9)*$B9+(G10-$C10)*$B10+(G11-$C11)*$B11+(G12-$C12)*$B12+(G13-$C13)*$B13+(G14-$C14)*$B14+(G15-$C15)*$B15+(G16-$C16)*$B16+(G17-$C17)*$B17+(G18-$C18)*$B18+(G19-$C19)*$B19+(G20-$C20)*$B20+(G21-$C21)*$B21+(G22-$C22)*$B22+(G23-$C23)*$B23+(G24-$C24)*$B24+(G25-$C25)*$B25+(G26-$C26)*$B26+(G27-$C27)*$B27)</f>
        <v>-18098</v>
      </c>
      <c r="H28" s="67" t="n">
        <f aca="false">SUM(D28:G28)</f>
        <v>-49888</v>
      </c>
    </row>
    <row r="29" customFormat="false" ht="13.8" hidden="false" customHeight="false" outlineLevel="0" collapsed="false">
      <c r="A29" s="54" t="str">
        <f aca="false">'2-IMPACT ARBITRAGE détaillé'!A29</f>
        <v>Actes de prothèses CMU-C / ACS</v>
      </c>
      <c r="B29" s="69" t="str">
        <f aca="false">'2-IMPACT ARBITRAGE détaillé'!B29</f>
        <v>CA annuel CMU/ACS</v>
      </c>
      <c r="C29" s="69" t="str">
        <f aca="false">'2-IMPACT ARBITRAGE détaillé'!C29</f>
        <v>%age d'augmentation</v>
      </c>
      <c r="D29" s="72"/>
      <c r="E29" s="72"/>
      <c r="F29" s="72"/>
      <c r="G29" s="113"/>
      <c r="H29" s="73"/>
    </row>
    <row r="30" customFormat="false" ht="13.8" hidden="false" customHeight="false" outlineLevel="0" collapsed="false">
      <c r="A30" s="74" t="str">
        <f aca="false">'2-IMPACT ARBITRAGE détaillé'!A30</f>
        <v>IMPACT de l'AUGMENTATION des honoraires à ED des actes CMU-C/ACS sur le CA en cours par rapport à 2017 =&gt;</v>
      </c>
      <c r="B30" s="114" t="n">
        <f aca="false">'2-IMPACT ARBITRAGE détaillé'!B30</f>
        <v>10000</v>
      </c>
      <c r="C30" s="115" t="n">
        <f aca="false">'2-IMPACT ARBITRAGE détaillé'!C30</f>
        <v>0.1</v>
      </c>
      <c r="D30" s="87" t="n">
        <f aca="false">$B30*$C30</f>
        <v>1000</v>
      </c>
      <c r="E30" s="87" t="n">
        <f aca="false">$B30*$C30</f>
        <v>1000</v>
      </c>
      <c r="F30" s="116" t="n">
        <f aca="false">$B30*$C30</f>
        <v>1000</v>
      </c>
      <c r="G30" s="117" t="n">
        <f aca="false">$B30*$C30</f>
        <v>1000</v>
      </c>
      <c r="H30" s="118" t="n">
        <f aca="false">SUM(D30:G30)</f>
        <v>4000</v>
      </c>
    </row>
    <row r="31" customFormat="false" ht="13.8" hidden="false" customHeight="false" outlineLevel="0" collapsed="false">
      <c r="A31" s="54" t="str">
        <f aca="false">'2-IMPACT ARBITRAGE détaillé'!A31</f>
        <v>HBBD006 - Sealants 2 dents</v>
      </c>
      <c r="B31" s="104" t="n">
        <f aca="false">'2-IMPACT ARBITRAGE détaillé'!B31</f>
        <v>10</v>
      </c>
      <c r="C31" s="60" t="n">
        <f aca="false">'2-IMPACT ARBITRAGE détaillé'!C31</f>
        <v>43.38</v>
      </c>
      <c r="D31" s="79" t="n">
        <f aca="false">'4-TARIFS ARBITRAGE'!C64</f>
        <v>43.38</v>
      </c>
      <c r="E31" s="79" t="n">
        <f aca="false">IF(E$4="N-1 Respectée",'4-TARIFS ARBITRAGE'!$D64,'4-TARIFS ARBITRAGE'!$E64)</f>
        <v>43.38</v>
      </c>
      <c r="F31" s="79" t="n">
        <f aca="false">IF(E$4="N-1 Respectée",IF(F$4="N-1 Respectée",'4-TARIFS ARBITRAGE'!$F64,'4-TARIFS ARBITRAGE'!$D64),IF(F$4="N-1 Respectée",'4-TARIFS ARBITRAGE'!$D64,'4-TARIFS ARBITRAGE'!$E64))</f>
        <v>43.38</v>
      </c>
      <c r="G31" s="79" t="n">
        <f aca="false">IF(E$4="N-1 Respectée",(IF(F$4="N-1 Respectée",IF(G$4="N-1 Respectée",'4-TARIFS ARBITRAGE'!$H64,'4-TARIFS ARBITRAGE'!$F64),IF(G$4="N-1 Respectée",'4-TARIFS ARBITRAGE'!$F64,'4-TARIFS ARBITRAGE'!$D64))),(IF(F$4="N-1 Respectée",(IF(G$4="N-1 Respectée",'4-TARIFS ARBITRAGE'!$F64,'4-TARIFS ARBITRAGE'!$D64)),IF(G$4="N-1 Respectée",'4-TARIFS ARBITRAGE'!$D64,'4-TARIFS ARBITRAGE'!$C64))))</f>
        <v>43.38</v>
      </c>
      <c r="H31" s="119"/>
    </row>
    <row r="32" customFormat="false" ht="13.8" hidden="false" customHeight="false" outlineLevel="0" collapsed="false">
      <c r="A32" s="54" t="str">
        <f aca="false">'2-IMPACT ARBITRAGE détaillé'!A32</f>
        <v>HBBD004 - Sealants 4 dents</v>
      </c>
      <c r="B32" s="104" t="n">
        <f aca="false">'2-IMPACT ARBITRAGE détaillé'!B32</f>
        <v>4</v>
      </c>
      <c r="C32" s="60" t="n">
        <f aca="false">'2-IMPACT ARBITRAGE détaillé'!C32</f>
        <v>86.76</v>
      </c>
      <c r="D32" s="79" t="n">
        <f aca="false">'4-TARIFS ARBITRAGE'!C65</f>
        <v>86.76</v>
      </c>
      <c r="E32" s="79" t="n">
        <f aca="false">IF(E$4="N-1 Respectée",'4-TARIFS ARBITRAGE'!$D65,'4-TARIFS ARBITRAGE'!$E65)</f>
        <v>86.76</v>
      </c>
      <c r="F32" s="79" t="n">
        <f aca="false">IF(E$4="N-1 Respectée",IF(F$4="N-1 Respectée",'4-TARIFS ARBITRAGE'!$F65,'4-TARIFS ARBITRAGE'!$D65),IF(F$4="N-1 Respectée",'4-TARIFS ARBITRAGE'!$D65,'4-TARIFS ARBITRAGE'!$E65))</f>
        <v>86.76</v>
      </c>
      <c r="G32" s="79" t="n">
        <f aca="false">IF(E$4="N-1 Respectée",(IF(F$4="N-1 Respectée",IF(G$4="N-1 Respectée",'4-TARIFS ARBITRAGE'!$H65,'4-TARIFS ARBITRAGE'!$F65),IF(G$4="N-1 Respectée",'4-TARIFS ARBITRAGE'!$F65,'4-TARIFS ARBITRAGE'!$D65))),(IF(F$4="N-1 Respectée",(IF(G$4="N-1 Respectée",'4-TARIFS ARBITRAGE'!$F65,'4-TARIFS ARBITRAGE'!$D65)),IF(G$4="N-1 Respectée",'4-TARIFS ARBITRAGE'!$D65,'4-TARIFS ARBITRAGE'!$C65))))</f>
        <v>86.76</v>
      </c>
      <c r="H32" s="119"/>
    </row>
    <row r="33" customFormat="false" ht="13.8" hidden="false" customHeight="false" outlineLevel="0" collapsed="false">
      <c r="A33" s="54" t="str">
        <f aca="false">'2-IMPACT ARBITRAGE détaillé'!A33</f>
        <v>HBBD404 - Sealants 6 dents</v>
      </c>
      <c r="B33" s="104" t="n">
        <f aca="false">'2-IMPACT ARBITRAGE détaillé'!B33</f>
        <v>0</v>
      </c>
      <c r="C33" s="60" t="n">
        <f aca="false">'2-IMPACT ARBITRAGE détaillé'!C33</f>
        <v>130.14</v>
      </c>
      <c r="D33" s="79" t="n">
        <f aca="false">'4-TARIFS ARBITRAGE'!C66</f>
        <v>130.14</v>
      </c>
      <c r="E33" s="79" t="n">
        <f aca="false">IF(E$4="N-1 Respectée",'4-TARIFS ARBITRAGE'!$D66,'4-TARIFS ARBITRAGE'!$E66)</f>
        <v>130.14</v>
      </c>
      <c r="F33" s="79" t="n">
        <f aca="false">IF(E$4="N-1 Respectée",IF(F$4="N-1 Respectée",'4-TARIFS ARBITRAGE'!$F66,'4-TARIFS ARBITRAGE'!$D66),IF(F$4="N-1 Respectée",'4-TARIFS ARBITRAGE'!$D66,'4-TARIFS ARBITRAGE'!$E66))</f>
        <v>130.14</v>
      </c>
      <c r="G33" s="79" t="n">
        <f aca="false">IF(E$4="N-1 Respectée",(IF(F$4="N-1 Respectée",IF(G$4="N-1 Respectée",'4-TARIFS ARBITRAGE'!$H66,'4-TARIFS ARBITRAGE'!$F66),IF(G$4="N-1 Respectée",'4-TARIFS ARBITRAGE'!$F66,'4-TARIFS ARBITRAGE'!$D66))),(IF(F$4="N-1 Respectée",(IF(G$4="N-1 Respectée",'4-TARIFS ARBITRAGE'!$F66,'4-TARIFS ARBITRAGE'!$D66)),IF(G$4="N-1 Respectée",'4-TARIFS ARBITRAGE'!$D66,'4-TARIFS ARBITRAGE'!$C66))))</f>
        <v>130.14</v>
      </c>
      <c r="H33" s="119"/>
    </row>
    <row r="34" customFormat="false" ht="13.8" hidden="false" customHeight="false" outlineLevel="0" collapsed="false">
      <c r="A34" s="54" t="str">
        <f aca="false">'2-IMPACT ARBITRAGE détaillé'!A34</f>
        <v>HBBD427 - Sealants 8 dents</v>
      </c>
      <c r="B34" s="104" t="n">
        <f aca="false">'2-IMPACT ARBITRAGE détaillé'!B34</f>
        <v>0</v>
      </c>
      <c r="C34" s="60" t="n">
        <f aca="false">'2-IMPACT ARBITRAGE détaillé'!C34</f>
        <v>173.52</v>
      </c>
      <c r="D34" s="79" t="n">
        <f aca="false">'4-TARIFS ARBITRAGE'!C67</f>
        <v>173.52</v>
      </c>
      <c r="E34" s="79" t="n">
        <f aca="false">IF(E$4="N-1 Respectée",'4-TARIFS ARBITRAGE'!$D67,'4-TARIFS ARBITRAGE'!$E67)</f>
        <v>173.52</v>
      </c>
      <c r="F34" s="79" t="n">
        <f aca="false">IF(E$4="N-1 Respectée",IF(F$4="N-1 Respectée",'4-TARIFS ARBITRAGE'!$F67,'4-TARIFS ARBITRAGE'!$D67),IF(F$4="N-1 Respectée",'4-TARIFS ARBITRAGE'!$D67,'4-TARIFS ARBITRAGE'!$E67))</f>
        <v>173.52</v>
      </c>
      <c r="G34" s="79" t="n">
        <f aca="false">IF(E$4="N-1 Respectée",(IF(F$4="N-1 Respectée",IF(G$4="N-1 Respectée",'4-TARIFS ARBITRAGE'!$H67,'4-TARIFS ARBITRAGE'!$F67),IF(G$4="N-1 Respectée",'4-TARIFS ARBITRAGE'!$F67,'4-TARIFS ARBITRAGE'!$D67))),(IF(F$4="N-1 Respectée",(IF(G$4="N-1 Respectée",'4-TARIFS ARBITRAGE'!$F67,'4-TARIFS ARBITRAGE'!$D67)),IF(G$4="N-1 Respectée",'4-TARIFS ARBITRAGE'!$D67,'4-TARIFS ARBITRAGE'!$C67))))</f>
        <v>173.52</v>
      </c>
      <c r="H34" s="119"/>
    </row>
    <row r="35" customFormat="false" ht="13.8" hidden="false" customHeight="false" outlineLevel="0" collapsed="false">
      <c r="A35" s="54" t="str">
        <f aca="false">'2-IMPACT ARBITRAGE détaillé'!A35</f>
        <v>HBMD058 / HBMD053 - Restauration 1 face</v>
      </c>
      <c r="B35" s="104" t="n">
        <f aca="false">'2-IMPACT ARBITRAGE détaillé'!B35</f>
        <v>129</v>
      </c>
      <c r="C35" s="60" t="n">
        <f aca="false">'2-IMPACT ARBITRAGE détaillé'!C35</f>
        <v>19.28</v>
      </c>
      <c r="D35" s="79" t="n">
        <f aca="false">'4-TARIFS ARBITRAGE'!C68</f>
        <v>21.59</v>
      </c>
      <c r="E35" s="79" t="n">
        <f aca="false">IF(E$4="N-1 Respectée",'4-TARIFS ARBITRAGE'!$D68,'4-TARIFS ARBITRAGE'!$E68)</f>
        <v>21.59</v>
      </c>
      <c r="F35" s="79" t="n">
        <f aca="false">IF(E$4="N-1 Respectée",IF(F$4="N-1 Respectée",'4-TARIFS ARBITRAGE'!$F68,'4-TARIFS ARBITRAGE'!$D68),IF(F$4="N-1 Respectée",'4-TARIFS ARBITRAGE'!$D68,'4-TARIFS ARBITRAGE'!$E68))</f>
        <v>21.59</v>
      </c>
      <c r="G35" s="79" t="n">
        <f aca="false">IF(E$4="N-1 Respectée",(IF(F$4="N-1 Respectée",IF(G$4="N-1 Respectée",'4-TARIFS ARBITRAGE'!$H68,'4-TARIFS ARBITRAGE'!$F68),IF(G$4="N-1 Respectée",'4-TARIFS ARBITRAGE'!$F68,'4-TARIFS ARBITRAGE'!$D68))),(IF(F$4="N-1 Respectée",(IF(G$4="N-1 Respectée",'4-TARIFS ARBITRAGE'!$F68,'4-TARIFS ARBITRAGE'!$D68)),IF(G$4="N-1 Respectée",'4-TARIFS ARBITRAGE'!$D68,'4-TARIFS ARBITRAGE'!$C68))))</f>
        <v>21.59</v>
      </c>
      <c r="H35" s="119"/>
    </row>
    <row r="36" customFormat="false" ht="13.8" hidden="false" customHeight="false" outlineLevel="0" collapsed="false">
      <c r="A36" s="54" t="str">
        <f aca="false">'2-IMPACT ARBITRAGE détaillé'!A36</f>
        <v>HBMD050 / HBMD049 - Restauration 2 faces</v>
      </c>
      <c r="B36" s="104" t="n">
        <f aca="false">'2-IMPACT ARBITRAGE détaillé'!B36</f>
        <v>296</v>
      </c>
      <c r="C36" s="60" t="n">
        <f aca="false">'2-IMPACT ARBITRAGE détaillé'!C36</f>
        <v>33.74</v>
      </c>
      <c r="D36" s="79" t="n">
        <f aca="false">'4-TARIFS ARBITRAGE'!C69</f>
        <v>37.79</v>
      </c>
      <c r="E36" s="79" t="n">
        <f aca="false">IF(E$4="N-1 Respectée",'4-TARIFS ARBITRAGE'!$D69,'4-TARIFS ARBITRAGE'!$E69)</f>
        <v>37.79</v>
      </c>
      <c r="F36" s="79" t="n">
        <f aca="false">IF(E$4="N-1 Respectée",IF(F$4="N-1 Respectée",'4-TARIFS ARBITRAGE'!$F69,'4-TARIFS ARBITRAGE'!$D69),IF(F$4="N-1 Respectée",'4-TARIFS ARBITRAGE'!$D69,'4-TARIFS ARBITRAGE'!$E69))</f>
        <v>37.79</v>
      </c>
      <c r="G36" s="79" t="n">
        <f aca="false">IF(E$4="N-1 Respectée",(IF(F$4="N-1 Respectée",IF(G$4="N-1 Respectée",'4-TARIFS ARBITRAGE'!$H69,'4-TARIFS ARBITRAGE'!$F69),IF(G$4="N-1 Respectée",'4-TARIFS ARBITRAGE'!$F69,'4-TARIFS ARBITRAGE'!$D69))),(IF(F$4="N-1 Respectée",(IF(G$4="N-1 Respectée",'4-TARIFS ARBITRAGE'!$F69,'4-TARIFS ARBITRAGE'!$D69)),IF(G$4="N-1 Respectée",'4-TARIFS ARBITRAGE'!$D69,'4-TARIFS ARBITRAGE'!$C69))))</f>
        <v>37.79</v>
      </c>
      <c r="H36" s="81" t="s">
        <v>74</v>
      </c>
    </row>
    <row r="37" customFormat="false" ht="13.8" hidden="false" customHeight="false" outlineLevel="0" collapsed="false">
      <c r="A37" s="54" t="str">
        <f aca="false">'2-IMPACT ARBITRAGE détaillé'!A37</f>
        <v>HBMD054 / HBMD038 - Restauration 3 faces</v>
      </c>
      <c r="B37" s="104" t="n">
        <f aca="false">'2-IMPACT ARBITRAGE détaillé'!B37</f>
        <v>87</v>
      </c>
      <c r="C37" s="60" t="n">
        <f aca="false">'2-IMPACT ARBITRAGE détaillé'!C37</f>
        <v>40.97</v>
      </c>
      <c r="D37" s="79" t="n">
        <f aca="false">'4-TARIFS ARBITRAGE'!C70</f>
        <v>47.93</v>
      </c>
      <c r="E37" s="79" t="n">
        <f aca="false">IF(E$4="N-1 Respectée",'4-TARIFS ARBITRAGE'!$D70,'4-TARIFS ARBITRAGE'!$E70)</f>
        <v>47.93</v>
      </c>
      <c r="F37" s="79" t="n">
        <f aca="false">IF(E$4="N-1 Respectée",IF(F$4="N-1 Respectée",'4-TARIFS ARBITRAGE'!$F70,'4-TARIFS ARBITRAGE'!$D70),IF(F$4="N-1 Respectée",'4-TARIFS ARBITRAGE'!$D70,'4-TARIFS ARBITRAGE'!$E70))</f>
        <v>47.93</v>
      </c>
      <c r="G37" s="79" t="n">
        <f aca="false">IF(E$4="N-1 Respectée",(IF(F$4="N-1 Respectée",IF(G$4="N-1 Respectée",'4-TARIFS ARBITRAGE'!$H70,'4-TARIFS ARBITRAGE'!$F70),IF(G$4="N-1 Respectée",'4-TARIFS ARBITRAGE'!$F70,'4-TARIFS ARBITRAGE'!$D70))),(IF(F$4="N-1 Respectée",(IF(G$4="N-1 Respectée",'4-TARIFS ARBITRAGE'!$F70,'4-TARIFS ARBITRAGE'!$D70)),IF(G$4="N-1 Respectée",'4-TARIFS ARBITRAGE'!$D70,'4-TARIFS ARBITRAGE'!$C70))))</f>
        <v>47.93</v>
      </c>
      <c r="H37" s="81" t="s">
        <v>70</v>
      </c>
    </row>
    <row r="38" customFormat="false" ht="13.8" hidden="false" customHeight="false" outlineLevel="0" collapsed="false">
      <c r="A38" s="54" t="str">
        <f aca="false">'2-IMPACT ARBITRAGE détaillé'!A38</f>
        <v>HBMD044 - Restauration 1 angle</v>
      </c>
      <c r="B38" s="104" t="n">
        <f aca="false">'2-IMPACT ARBITRAGE détaillé'!B38</f>
        <v>13</v>
      </c>
      <c r="C38" s="60" t="n">
        <f aca="false">'2-IMPACT ARBITRAGE détaillé'!C38</f>
        <v>43</v>
      </c>
      <c r="D38" s="79" t="n">
        <f aca="false">'4-TARIFS ARBITRAGE'!C71</f>
        <v>45.54</v>
      </c>
      <c r="E38" s="79" t="n">
        <f aca="false">IF(E$4="N-1 Respectée",'4-TARIFS ARBITRAGE'!$D71,'4-TARIFS ARBITRAGE'!$E71)</f>
        <v>45.54</v>
      </c>
      <c r="F38" s="79" t="n">
        <f aca="false">IF(E$4="N-1 Respectée",IF(F$4="N-1 Respectée",'4-TARIFS ARBITRAGE'!$F71,'4-TARIFS ARBITRAGE'!$D71),IF(F$4="N-1 Respectée",'4-TARIFS ARBITRAGE'!$D71,'4-TARIFS ARBITRAGE'!$E71))</f>
        <v>45.54</v>
      </c>
      <c r="G38" s="79" t="n">
        <f aca="false">IF(E$4="N-1 Respectée",(IF(F$4="N-1 Respectée",IF(G$4="N-1 Respectée",'4-TARIFS ARBITRAGE'!$H71,'4-TARIFS ARBITRAGE'!$F71),IF(G$4="N-1 Respectée",'4-TARIFS ARBITRAGE'!$F71,'4-TARIFS ARBITRAGE'!$D71))),(IF(F$4="N-1 Respectée",(IF(G$4="N-1 Respectée",'4-TARIFS ARBITRAGE'!$F71,'4-TARIFS ARBITRAGE'!$D71)),IF(G$4="N-1 Respectée",'4-TARIFS ARBITRAGE'!$D71,'4-TARIFS ARBITRAGE'!$C71))))</f>
        <v>45.54</v>
      </c>
      <c r="H38" s="81" t="s">
        <v>81</v>
      </c>
    </row>
    <row r="39" customFormat="false" ht="13.8" hidden="false" customHeight="false" outlineLevel="0" collapsed="false">
      <c r="A39" s="54" t="str">
        <f aca="false">'2-IMPACT ARBITRAGE détaillé'!A39</f>
        <v>HBMD047 - Restauration 2 angles</v>
      </c>
      <c r="B39" s="104" t="n">
        <f aca="false">'2-IMPACT ARBITRAGE détaillé'!B39</f>
        <v>0</v>
      </c>
      <c r="C39" s="60" t="n">
        <f aca="false">'2-IMPACT ARBITRAGE détaillé'!C39</f>
        <v>86</v>
      </c>
      <c r="D39" s="79" t="n">
        <f aca="false">'4-TARIFS ARBITRAGE'!C72</f>
        <v>91.08</v>
      </c>
      <c r="E39" s="79" t="n">
        <f aca="false">IF(E$4="N-1 Respectée",'4-TARIFS ARBITRAGE'!$D72,'4-TARIFS ARBITRAGE'!$E72)</f>
        <v>91.08</v>
      </c>
      <c r="F39" s="79" t="n">
        <f aca="false">IF(E$4="N-1 Respectée",IF(F$4="N-1 Respectée",'4-TARIFS ARBITRAGE'!$F72,'4-TARIFS ARBITRAGE'!$D72),IF(F$4="N-1 Respectée",'4-TARIFS ARBITRAGE'!$D72,'4-TARIFS ARBITRAGE'!$E72))</f>
        <v>91.08</v>
      </c>
      <c r="G39" s="79" t="n">
        <f aca="false">IF(E$4="N-1 Respectée",(IF(F$4="N-1 Respectée",IF(G$4="N-1 Respectée",'4-TARIFS ARBITRAGE'!$H72,'4-TARIFS ARBITRAGE'!$F72),IF(G$4="N-1 Respectée",'4-TARIFS ARBITRAGE'!$F72,'4-TARIFS ARBITRAGE'!$D72))),(IF(F$4="N-1 Respectée",(IF(G$4="N-1 Respectée",'4-TARIFS ARBITRAGE'!$F72,'4-TARIFS ARBITRAGE'!$D72)),IF(G$4="N-1 Respectée",'4-TARIFS ARBITRAGE'!$D72,'4-TARIFS ARBITRAGE'!$C72))))</f>
        <v>91.08</v>
      </c>
      <c r="H39" s="81" t="s">
        <v>82</v>
      </c>
    </row>
    <row r="40" customFormat="false" ht="13.8" hidden="false" customHeight="false" outlineLevel="0" collapsed="false">
      <c r="A40" s="54" t="str">
        <f aca="false">'2-IMPACT ARBITRAGE détaillé'!A40</f>
        <v>HBMD042 - Restauration avec ancrage radiculaire</v>
      </c>
      <c r="B40" s="104" t="n">
        <f aca="false">'2-IMPACT ARBITRAGE détaillé'!B40</f>
        <v>0</v>
      </c>
      <c r="C40" s="60" t="n">
        <f aca="false">'2-IMPACT ARBITRAGE détaillé'!C40</f>
        <v>79.53</v>
      </c>
      <c r="D40" s="79" t="n">
        <f aca="false">'4-TARIFS ARBITRAGE'!C73</f>
        <v>79.53</v>
      </c>
      <c r="E40" s="79" t="n">
        <f aca="false">IF(E$4="N-1 Respectée",'4-TARIFS ARBITRAGE'!$D73,'4-TARIFS ARBITRAGE'!$E73)</f>
        <v>79.53</v>
      </c>
      <c r="F40" s="79" t="n">
        <f aca="false">IF(E$4="N-1 Respectée",IF(F$4="N-1 Respectée",'4-TARIFS ARBITRAGE'!$F73,'4-TARIFS ARBITRAGE'!$D73),IF(F$4="N-1 Respectée",'4-TARIFS ARBITRAGE'!$D73,'4-TARIFS ARBITRAGE'!$E73))</f>
        <v>79.53</v>
      </c>
      <c r="G40" s="79" t="n">
        <f aca="false">IF(E$4="N-1 Respectée",(IF(F$4="N-1 Respectée",IF(G$4="N-1 Respectée",'4-TARIFS ARBITRAGE'!$H73,'4-TARIFS ARBITRAGE'!$F73),IF(G$4="N-1 Respectée",'4-TARIFS ARBITRAGE'!$F73,'4-TARIFS ARBITRAGE'!$D73))),(IF(F$4="N-1 Respectée",(IF(G$4="N-1 Respectée",'4-TARIFS ARBITRAGE'!$F73,'4-TARIFS ARBITRAGE'!$D73)),IF(G$4="N-1 Respectée",'4-TARIFS ARBITRAGE'!$D73,'4-TARIFS ARBITRAGE'!$C73))))</f>
        <v>79.53</v>
      </c>
      <c r="H40" s="81" t="s">
        <v>74</v>
      </c>
    </row>
    <row r="41" customFormat="false" ht="13.8" hidden="false" customHeight="false" outlineLevel="0" collapsed="false">
      <c r="A41" s="54" t="str">
        <f aca="false">'2-IMPACT ARBITRAGE détaillé'!A41</f>
        <v>HBGD035 - Avulsion 1 dent temporaire</v>
      </c>
      <c r="B41" s="104" t="n">
        <f aca="false">'2-IMPACT ARBITRAGE détaillé'!B41</f>
        <v>0</v>
      </c>
      <c r="C41" s="60" t="n">
        <f aca="false">'2-IMPACT ARBITRAGE détaillé'!C41</f>
        <v>16.72</v>
      </c>
      <c r="D41" s="79" t="n">
        <f aca="false">'4-TARIFS ARBITRAGE'!C74</f>
        <v>23.07</v>
      </c>
      <c r="E41" s="79" t="n">
        <f aca="false">IF(E$4="N-1 Respectée",'4-TARIFS ARBITRAGE'!$D74,'4-TARIFS ARBITRAGE'!$E74)</f>
        <v>23.07</v>
      </c>
      <c r="F41" s="79" t="n">
        <f aca="false">IF(E$4="N-1 Respectée",IF(F$4="N-1 Respectée",'4-TARIFS ARBITRAGE'!$F74,'4-TARIFS ARBITRAGE'!$D74),IF(F$4="N-1 Respectée",'4-TARIFS ARBITRAGE'!$D74,'4-TARIFS ARBITRAGE'!$E74))</f>
        <v>23.07</v>
      </c>
      <c r="G41" s="79" t="n">
        <f aca="false">IF(E$4="N-1 Respectée",(IF(F$4="N-1 Respectée",IF(G$4="N-1 Respectée",'4-TARIFS ARBITRAGE'!$H74,'4-TARIFS ARBITRAGE'!$F74),IF(G$4="N-1 Respectée",'4-TARIFS ARBITRAGE'!$F74,'4-TARIFS ARBITRAGE'!$D74))),(IF(F$4="N-1 Respectée",(IF(G$4="N-1 Respectée",'4-TARIFS ARBITRAGE'!$F74,'4-TARIFS ARBITRAGE'!$D74)),IF(G$4="N-1 Respectée",'4-TARIFS ARBITRAGE'!$D74,'4-TARIFS ARBITRAGE'!$C74))))</f>
        <v>23.07</v>
      </c>
      <c r="H41" s="120"/>
    </row>
    <row r="42" customFormat="false" ht="13.8" hidden="false" customHeight="false" outlineLevel="0" collapsed="false">
      <c r="A42" s="106" t="str">
        <f aca="false">'2-IMPACT ARBITRAGE détaillé'!A42</f>
        <v>HBGD037 - Avulsion 2 dents temporaires</v>
      </c>
      <c r="B42" s="107" t="n">
        <f aca="false">'2-IMPACT ARBITRAGE détaillé'!B42</f>
        <v>0</v>
      </c>
      <c r="C42" s="108" t="n">
        <f aca="false">'2-IMPACT ARBITRAGE détaillé'!C42</f>
        <v>25.08</v>
      </c>
      <c r="D42" s="121" t="n">
        <f aca="false">'4-TARIFS ARBITRAGE'!C75</f>
        <v>34.61</v>
      </c>
      <c r="E42" s="121" t="n">
        <f aca="false">IF(E$4="N-1 Respectée",'4-TARIFS ARBITRAGE'!$D75,'4-TARIFS ARBITRAGE'!$E75)</f>
        <v>34.61</v>
      </c>
      <c r="F42" s="121" t="n">
        <f aca="false">IF(E$4="N-1 Respectée",IF(F$4="N-1 Respectée",'4-TARIFS ARBITRAGE'!$F75,'4-TARIFS ARBITRAGE'!$D75),IF(F$4="N-1 Respectée",'4-TARIFS ARBITRAGE'!$D75,'4-TARIFS ARBITRAGE'!$E75))</f>
        <v>34.61</v>
      </c>
      <c r="G42" s="121" t="n">
        <f aca="false">IF(E$4="N-1 Respectée",(IF(F$4="N-1 Respectée",IF(G$4="N-1 Respectée",'4-TARIFS ARBITRAGE'!$H75,'4-TARIFS ARBITRAGE'!$F75),IF(G$4="N-1 Respectée",'4-TARIFS ARBITRAGE'!$F75,'4-TARIFS ARBITRAGE'!$D75))),(IF(F$4="N-1 Respectée",(IF(G$4="N-1 Respectée",'4-TARIFS ARBITRAGE'!$F75,'4-TARIFS ARBITRAGE'!$D75)),IF(G$4="N-1 Respectée",'4-TARIFS ARBITRAGE'!$D75,'4-TARIFS ARBITRAGE'!$C75))))</f>
        <v>34.61</v>
      </c>
      <c r="H42" s="122" t="s">
        <v>75</v>
      </c>
    </row>
    <row r="43" customFormat="false" ht="13.8" hidden="false" customHeight="false" outlineLevel="0" collapsed="false">
      <c r="A43" s="123" t="str">
        <f aca="false">'2-IMPACT ARBITRAGE détaillé'!A43</f>
        <v>IMPACT de l'AUGMENTATION des honoraires de SOINS sur le CA de l'année en cours par rapport au CA de 2017 =&gt;</v>
      </c>
      <c r="B43" s="123"/>
      <c r="C43" s="123"/>
      <c r="D43" s="124" t="n">
        <f aca="false">((D31-$C31)*$B31)+((D32-$C32)*$B32)+((D33-$C33)*$B33)+((D34-$C34)*$B34)+((D35-$C35)*$B35)+((D36-$C36)*$B36)+((D37-$C37)*$B37)+((D38-$C38)*$B38)+((D39-$C39)*$B39)+((D40-$C40)*$B40)+((D41-$C41)*$B41)+((D42-$C42)*$B42)</f>
        <v>2135.33</v>
      </c>
      <c r="E43" s="124" t="n">
        <f aca="false">((E31-$C31)*$B31)+((E32-$C32)*$B32)+((E33-$C33)*$B33)+((E34-$C34)*$B34)+((E35-$C35)*$B35)+((E36-$C36)*$B36)+((E37-$C37)*$B37)+((E38-$C38)*$B38)+((E39-$C39)*$B39)+((E40-$C40)*$B40)+((E41-$C41)*$B41)+((E42-$C42)*$B42)</f>
        <v>2135.33</v>
      </c>
      <c r="F43" s="124" t="n">
        <f aca="false">((F31-$C31)*$B31)+((F32-$C32)*$B32)+((F33-$C33)*$B33)+((F34-$C34)*$B34)+((F35-$C35)*$B35)+((F36-$C36)*$B36)+((F37-$C37)*$B37)+((F38-$C38)*$B38)+((F39-$C39)*$B39)+((F40-$C40)*$B40)+((F41-$C41)*$B41)+((F42-$C42)*$B42)</f>
        <v>2135.33</v>
      </c>
      <c r="G43" s="124" t="n">
        <f aca="false">((G31-$C31)*$B31)+((G32-$C32)*$B32)+((G33-$C33)*$B33)+((G34-$C34)*$B34)+((G35-$C35)*$B35)+((G36-$C36)*$B36)+((G37-$C37)*$B37)+((G38-$C38)*$B38)+((G39-$C39)*$B39)+((G40-$C40)*$B40)+((G41-$C41)*$B41)+((G42-$C42)*$B42)</f>
        <v>2135.33</v>
      </c>
      <c r="H43" s="87" t="n">
        <f aca="false">SUM(D43:G43)</f>
        <v>8541.32</v>
      </c>
    </row>
    <row r="44" customFormat="false" ht="13.8" hidden="false" customHeight="false" outlineLevel="0" collapsed="false">
      <c r="A44" s="23"/>
      <c r="B44" s="23"/>
      <c r="C44" s="23"/>
      <c r="D44" s="23"/>
      <c r="E44" s="23"/>
      <c r="F44" s="23"/>
      <c r="G44" s="23"/>
      <c r="H44" s="63" t="s">
        <v>75</v>
      </c>
      <c r="I44" s="85" t="s">
        <v>84</v>
      </c>
    </row>
    <row r="45" customFormat="false" ht="13.8" hidden="false" customHeight="false" outlineLevel="0" collapsed="false">
      <c r="A45" s="125" t="str">
        <f aca="false">'2-IMPACT ARBITRAGE détaillé'!A45</f>
        <v>TOTAL de l'IMPACT de l'ARBITRAGE sur le CA 2018 à 2021 par rapport au CA de 2017 :</v>
      </c>
      <c r="B45" s="125"/>
      <c r="C45" s="125"/>
      <c r="D45" s="126" t="n">
        <f aca="false">SUM(D28,D30,D43)</f>
        <v>-704.670000000001</v>
      </c>
      <c r="E45" s="126" t="n">
        <f aca="false">SUM(E28,E30,E43)</f>
        <v>-9230.67</v>
      </c>
      <c r="F45" s="126" t="n">
        <f aca="false">SUM(F28,F30,F43)</f>
        <v>-12448.67</v>
      </c>
      <c r="G45" s="127" t="n">
        <f aca="false">SUM(G28,G30,G43)</f>
        <v>-14962.67</v>
      </c>
      <c r="H45" s="118" t="n">
        <f aca="false">SUM(H28,H30,H43)</f>
        <v>-37346.68</v>
      </c>
      <c r="I45" s="87" t="n">
        <f aca="false">H45/4</f>
        <v>-9336.67</v>
      </c>
      <c r="J45" s="128"/>
    </row>
    <row r="46" customFormat="false" ht="13.8" hidden="false" customHeight="false" outlineLevel="0" collapsed="false">
      <c r="A46" s="129" t="str">
        <f aca="false">'2-IMPACT ARBITRAGE détaillé'!A46</f>
        <v>TOTAL de l'IMPACT de l'ARBITRAGE sur le BNC 2018 à 2021 par rapport au BNC de 2017 :</v>
      </c>
      <c r="B46" s="129"/>
      <c r="C46" s="129"/>
      <c r="D46" s="124" t="n">
        <f aca="false">D45*0.7</f>
        <v>-493.269000000001</v>
      </c>
      <c r="E46" s="124" t="n">
        <f aca="false">E45*0.7</f>
        <v>-6461.469</v>
      </c>
      <c r="F46" s="124" t="n">
        <f aca="false">F45*0.7</f>
        <v>-8714.069</v>
      </c>
      <c r="G46" s="130" t="n">
        <f aca="false">G45*0.7</f>
        <v>-10473.869</v>
      </c>
      <c r="H46" s="118" t="n">
        <f aca="false">H45*0.7</f>
        <v>-26142.676</v>
      </c>
      <c r="I46" s="87" t="n">
        <f aca="false">H46/4</f>
        <v>-6535.669</v>
      </c>
      <c r="J46" s="128"/>
    </row>
    <row r="47" customFormat="false" ht="12.8" hidden="false" customHeight="false" outlineLevel="0" collapsed="false"/>
    <row r="48" customFormat="false" ht="13.8" hidden="false" customHeight="true" outlineLevel="0" collapsed="false">
      <c r="B48" s="131" t="s">
        <v>87</v>
      </c>
      <c r="C48" s="132" t="n">
        <f aca="false">I45</f>
        <v>-9336.67</v>
      </c>
      <c r="D48" s="133"/>
      <c r="E48" s="133"/>
      <c r="F48" s="133"/>
      <c r="G48" s="134" t="s">
        <v>88</v>
      </c>
    </row>
    <row r="49" customFormat="false" ht="12.8" hidden="false" customHeight="false" outlineLevel="0" collapsed="false">
      <c r="B49" s="131"/>
      <c r="C49" s="132"/>
      <c r="G49" s="134"/>
    </row>
    <row r="50" customFormat="false" ht="13.8" hidden="false" customHeight="false" outlineLevel="0" collapsed="false">
      <c r="B50" s="131"/>
      <c r="C50" s="132"/>
      <c r="D50" s="135"/>
      <c r="E50" s="135"/>
      <c r="F50" s="135"/>
      <c r="G50" s="134"/>
    </row>
  </sheetData>
  <mergeCells count="10">
    <mergeCell ref="B1:G1"/>
    <mergeCell ref="A2:B2"/>
    <mergeCell ref="H5:H6"/>
    <mergeCell ref="A28:C28"/>
    <mergeCell ref="A43:C43"/>
    <mergeCell ref="A45:C45"/>
    <mergeCell ref="A46:C46"/>
    <mergeCell ref="B48:B50"/>
    <mergeCell ref="C48:C50"/>
    <mergeCell ref="G48:G50"/>
  </mergeCells>
  <conditionalFormatting sqref="D28:F28 H28 D30:F30 H30 D43:F43 H43 D45:F46 H45:J46 C48">
    <cfRule type="cellIs" priority="2" operator="lessThan" aboveAverage="0" equalAverage="0" bottom="0" percent="0" rank="0" text="" dxfId="2">
      <formula>0</formula>
    </cfRule>
  </conditionalFormatting>
  <conditionalFormatting sqref="D28:H28 D30:F30 H30 D43:F43 H43 D45:F46 H45:J46 C48">
    <cfRule type="cellIs" priority="3" operator="greaterThanOrEqual" aboveAverage="0" equalAverage="0" bottom="0" percent="0" rank="0" text="" dxfId="3">
      <formula>0</formula>
    </cfRule>
  </conditionalFormatting>
  <conditionalFormatting sqref="G28 G30 G43">
    <cfRule type="cellIs" priority="4" operator="greaterThanOrEqual" aboveAverage="0" equalAverage="0" bottom="0" percent="0" rank="0" text="" dxfId="0">
      <formula>0</formula>
    </cfRule>
  </conditionalFormatting>
  <conditionalFormatting sqref="G28 G30 G43">
    <cfRule type="cellIs" priority="5" operator="lessThan" aboveAverage="0" equalAverage="0" bottom="0" percent="0" rank="0" text="" dxfId="1">
      <formula>0</formula>
    </cfRule>
  </conditionalFormatting>
  <conditionalFormatting sqref="A5">
    <cfRule type="containsText" priority="6" operator="containsText" aboveAverage="0" equalAverage="0" bottom="0" percent="0" rank="0" text="-" dxfId="0"/>
  </conditionalFormatting>
  <conditionalFormatting sqref="A5">
    <cfRule type="notContainsText" priority="7" operator="notContains" aboveAverage="0" equalAverage="0" bottom="0" percent="0" rank="0" text="-" dxfId="1"/>
  </conditionalFormatting>
  <dataValidations count="3">
    <dataValidation allowBlank="true" operator="between" showDropDown="false" showErrorMessage="false" showInputMessage="false" sqref="C2" type="list">
      <formula1>'2-IMPACT ARBITRAGE détaillé'!$O$3:$O$4</formula1>
      <formula2>0</formula2>
    </dataValidation>
    <dataValidation allowBlank="true" operator="between" showDropDown="false" showErrorMessage="false" showInputMessage="false" sqref="C5" type="list">
      <formula1>'2-IMPACT ARBITRAGE détaillé'!$P$3:$P$4</formula1>
      <formula2>0</formula2>
    </dataValidation>
    <dataValidation allowBlank="true" operator="between" showDropDown="false" showErrorMessage="false" showInputMessage="false" sqref="C3:C4" type="list">
      <formula1>'2-IMPACT ARBITRAGE détaillé'!$N$3:$N$4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7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0" width="58"/>
    <col collapsed="false" customWidth="true" hidden="false" outlineLevel="0" max="2" min="2" style="0" width="8.29"/>
    <col collapsed="false" customWidth="true" hidden="false" outlineLevel="0" max="3" min="3" style="0" width="17.71"/>
    <col collapsed="false" customWidth="true" hidden="false" outlineLevel="0" max="4" min="4" style="0" width="19.57"/>
    <col collapsed="false" customWidth="true" hidden="false" outlineLevel="0" max="5" min="5" style="0" width="23.57"/>
    <col collapsed="false" customWidth="true" hidden="false" outlineLevel="0" max="6" min="6" style="0" width="19.57"/>
    <col collapsed="false" customWidth="true" hidden="false" outlineLevel="0" max="7" min="7" style="0" width="26.59"/>
    <col collapsed="false" customWidth="true" hidden="false" outlineLevel="0" max="8" min="8" style="0" width="19.57"/>
    <col collapsed="false" customWidth="true" hidden="false" outlineLevel="0" max="9" min="9" style="0" width="26.59"/>
    <col collapsed="false" customWidth="true" hidden="false" outlineLevel="0" max="10" min="10" style="0" width="17.59"/>
    <col collapsed="false" customWidth="true" hidden="false" outlineLevel="0" max="11" min="11" style="0" width="9.86"/>
    <col collapsed="false" customWidth="true" hidden="false" outlineLevel="0" max="1025" min="12" style="0" width="14.43"/>
  </cols>
  <sheetData>
    <row r="1" customFormat="false" ht="15.75" hidden="false" customHeight="false" outlineLevel="0" collapsed="false">
      <c r="A1" s="6" t="s">
        <v>93</v>
      </c>
      <c r="B1" s="3"/>
      <c r="C1" s="26" t="s">
        <v>2</v>
      </c>
      <c r="D1" s="26"/>
      <c r="E1" s="26"/>
      <c r="F1" s="26"/>
      <c r="G1" s="26"/>
      <c r="H1" s="26"/>
      <c r="I1" s="26"/>
      <c r="J1" s="26"/>
      <c r="K1" s="26"/>
      <c r="M1" s="136" t="s">
        <v>2</v>
      </c>
      <c r="N1" s="133"/>
      <c r="O1" s="133"/>
      <c r="P1" s="133"/>
      <c r="Q1" s="133"/>
      <c r="R1" s="137"/>
    </row>
    <row r="2" customFormat="false" ht="15.75" hidden="false" customHeight="true" outlineLevel="0" collapsed="false">
      <c r="A2" s="138"/>
      <c r="B2" s="8" t="n">
        <v>2017</v>
      </c>
      <c r="C2" s="8" t="n">
        <v>2018</v>
      </c>
      <c r="D2" s="8" t="n">
        <v>2019</v>
      </c>
      <c r="E2" s="8"/>
      <c r="F2" s="8" t="n">
        <v>2020</v>
      </c>
      <c r="G2" s="8"/>
      <c r="H2" s="8" t="n">
        <v>2021</v>
      </c>
      <c r="I2" s="8"/>
      <c r="J2" s="139" t="s">
        <v>4</v>
      </c>
      <c r="K2" s="8" t="s">
        <v>5</v>
      </c>
      <c r="M2" s="140" t="s">
        <v>94</v>
      </c>
      <c r="N2" s="135"/>
      <c r="O2" s="135"/>
      <c r="P2" s="135"/>
      <c r="Q2" s="135"/>
      <c r="R2" s="141"/>
    </row>
    <row r="3" customFormat="false" ht="15.75" hidden="false" customHeight="true" outlineLevel="0" collapsed="false">
      <c r="A3" s="3"/>
      <c r="B3" s="3"/>
      <c r="C3" s="3"/>
      <c r="D3" s="8" t="s">
        <v>6</v>
      </c>
      <c r="E3" s="8" t="s">
        <v>7</v>
      </c>
      <c r="F3" s="8" t="s">
        <v>6</v>
      </c>
      <c r="G3" s="8" t="s">
        <v>7</v>
      </c>
      <c r="H3" s="8" t="s">
        <v>6</v>
      </c>
      <c r="I3" s="8" t="s">
        <v>7</v>
      </c>
      <c r="J3" s="139"/>
      <c r="K3" s="3"/>
    </row>
    <row r="4" customFormat="false" ht="15.75" hidden="false" customHeight="false" outlineLevel="0" collapsed="false">
      <c r="A4" s="12" t="s">
        <v>8</v>
      </c>
      <c r="B4" s="13"/>
      <c r="C4" s="14" t="n">
        <v>250</v>
      </c>
      <c r="D4" s="14" t="n">
        <v>210</v>
      </c>
      <c r="E4" s="14" t="n">
        <v>202</v>
      </c>
      <c r="F4" s="14" t="n">
        <v>190</v>
      </c>
      <c r="G4" s="14" t="n">
        <v>182</v>
      </c>
      <c r="H4" s="14" t="n">
        <v>190</v>
      </c>
      <c r="I4" s="14" t="n">
        <v>182</v>
      </c>
      <c r="J4" s="15" t="n">
        <f aca="false">-(1-K4/I4)</f>
        <v>-0.286813186813187</v>
      </c>
      <c r="K4" s="16" t="n">
        <v>129.8</v>
      </c>
    </row>
    <row r="5" customFormat="false" ht="15.75" hidden="false" customHeight="false" outlineLevel="0" collapsed="false">
      <c r="A5" s="12" t="s">
        <v>9</v>
      </c>
      <c r="B5" s="13"/>
      <c r="C5" s="14" t="n">
        <v>280</v>
      </c>
      <c r="D5" s="14" t="n">
        <v>240</v>
      </c>
      <c r="E5" s="14" t="n">
        <v>230</v>
      </c>
      <c r="F5" s="14" t="n">
        <v>195</v>
      </c>
      <c r="G5" s="14" t="n">
        <v>187</v>
      </c>
      <c r="H5" s="14" t="n">
        <v>195</v>
      </c>
      <c r="I5" s="14" t="n">
        <v>187</v>
      </c>
      <c r="J5" s="15" t="n">
        <f aca="false">-(1-K5/I5)</f>
        <v>-0.179679144385027</v>
      </c>
      <c r="K5" s="16" t="n">
        <v>153.4</v>
      </c>
    </row>
    <row r="6" customFormat="false" ht="15.75" hidden="false" customHeight="false" outlineLevel="0" collapsed="false">
      <c r="A6" s="12" t="s">
        <v>10</v>
      </c>
      <c r="B6" s="13"/>
      <c r="C6" s="14" t="n">
        <v>60</v>
      </c>
      <c r="D6" s="14" t="n">
        <v>60</v>
      </c>
      <c r="E6" s="14" t="n">
        <v>58</v>
      </c>
      <c r="F6" s="14" t="n">
        <v>60</v>
      </c>
      <c r="G6" s="14" t="n">
        <v>58</v>
      </c>
      <c r="H6" s="14" t="n">
        <v>60</v>
      </c>
      <c r="I6" s="14" t="n">
        <v>58</v>
      </c>
      <c r="J6" s="15" t="n">
        <f aca="false">-(1-K6/I6)</f>
        <v>-0.568965517241379</v>
      </c>
      <c r="K6" s="14" t="n">
        <v>25</v>
      </c>
    </row>
    <row r="7" customFormat="false" ht="15.75" hidden="false" customHeight="false" outlineLevel="0" collapsed="false">
      <c r="A7" s="12" t="s">
        <v>11</v>
      </c>
      <c r="B7" s="13"/>
      <c r="C7" s="14" t="n">
        <v>350</v>
      </c>
      <c r="D7" s="14" t="n">
        <v>320</v>
      </c>
      <c r="E7" s="14" t="n">
        <v>307</v>
      </c>
      <c r="F7" s="14" t="n">
        <v>300</v>
      </c>
      <c r="G7" s="14" t="n">
        <v>288</v>
      </c>
      <c r="H7" s="14" t="n">
        <v>290</v>
      </c>
      <c r="I7" s="14" t="n">
        <v>278</v>
      </c>
      <c r="J7" s="15" t="n">
        <f aca="false">-(1-K7/I7)</f>
        <v>-0.100719424460432</v>
      </c>
      <c r="K7" s="14" t="n">
        <v>250</v>
      </c>
    </row>
    <row r="8" customFormat="false" ht="15.75" hidden="false" customHeight="false" outlineLevel="0" collapsed="false">
      <c r="A8" s="12" t="s">
        <v>12</v>
      </c>
      <c r="B8" s="13"/>
      <c r="C8" s="14" t="n">
        <v>550</v>
      </c>
      <c r="D8" s="14" t="n">
        <v>530</v>
      </c>
      <c r="E8" s="14" t="n">
        <v>509</v>
      </c>
      <c r="F8" s="14" t="n">
        <v>510</v>
      </c>
      <c r="G8" s="14" t="n">
        <v>490</v>
      </c>
      <c r="H8" s="14" t="n">
        <v>510</v>
      </c>
      <c r="I8" s="14" t="n">
        <v>490</v>
      </c>
      <c r="J8" s="15" t="n">
        <f aca="false">-(1-K8/I8)</f>
        <v>-0.163265306122449</v>
      </c>
      <c r="K8" s="14" t="n">
        <v>410</v>
      </c>
    </row>
    <row r="9" customFormat="false" ht="15.75" hidden="false" customHeight="false" outlineLevel="0" collapsed="false">
      <c r="A9" s="17" t="s">
        <v>13</v>
      </c>
      <c r="B9" s="13"/>
      <c r="C9" s="14" t="n">
        <v>590</v>
      </c>
      <c r="D9" s="14" t="n">
        <v>570</v>
      </c>
      <c r="E9" s="142" t="n">
        <v>570</v>
      </c>
      <c r="F9" s="14" t="n">
        <v>550</v>
      </c>
      <c r="G9" s="142" t="n">
        <v>550</v>
      </c>
      <c r="H9" s="14" t="n">
        <v>550</v>
      </c>
      <c r="I9" s="142" t="n">
        <v>550</v>
      </c>
      <c r="J9" s="19"/>
      <c r="K9" s="13"/>
    </row>
    <row r="10" customFormat="false" ht="15.75" hidden="false" customHeight="false" outlineLevel="0" collapsed="false">
      <c r="A10" s="12" t="s">
        <v>14</v>
      </c>
      <c r="B10" s="13"/>
      <c r="C10" s="13"/>
      <c r="D10" s="14" t="n">
        <v>295</v>
      </c>
      <c r="E10" s="14" t="n">
        <v>283</v>
      </c>
      <c r="F10" s="14" t="n">
        <v>295</v>
      </c>
      <c r="G10" s="14" t="n">
        <v>283</v>
      </c>
      <c r="H10" s="14" t="n">
        <v>295</v>
      </c>
      <c r="I10" s="14" t="n">
        <v>283</v>
      </c>
      <c r="J10" s="15" t="n">
        <f aca="false">-(1-K10/I10)</f>
        <v>-0.11660777385159</v>
      </c>
      <c r="K10" s="14" t="n">
        <v>250</v>
      </c>
    </row>
    <row r="11" customFormat="false" ht="15.75" hidden="false" customHeight="false" outlineLevel="0" collapsed="false">
      <c r="A11" s="12" t="s">
        <v>15</v>
      </c>
      <c r="B11" s="13"/>
      <c r="C11" s="13"/>
      <c r="D11" s="13"/>
      <c r="E11" s="13"/>
      <c r="F11" s="14" t="n">
        <v>1620</v>
      </c>
      <c r="G11" s="14" t="n">
        <v>1555</v>
      </c>
      <c r="H11" s="14" t="n">
        <v>1450</v>
      </c>
      <c r="I11" s="14" t="n">
        <v>1392</v>
      </c>
      <c r="J11" s="15" t="n">
        <f aca="false">-(1-K11/I11)</f>
        <v>-0.112241379310345</v>
      </c>
      <c r="K11" s="16" t="n">
        <v>1235.76</v>
      </c>
    </row>
    <row r="12" customFormat="false" ht="15.75" hidden="false" customHeight="false" outlineLevel="0" collapsed="false">
      <c r="A12" s="20" t="s">
        <v>16</v>
      </c>
      <c r="B12" s="13"/>
      <c r="C12" s="13"/>
      <c r="D12" s="13"/>
      <c r="E12" s="13"/>
      <c r="F12" s="21" t="n">
        <f aca="false">F11/3</f>
        <v>540</v>
      </c>
      <c r="G12" s="21" t="n">
        <f aca="false">G11/3</f>
        <v>518.333333333333</v>
      </c>
      <c r="H12" s="21" t="n">
        <f aca="false">H11/3</f>
        <v>483.333333333333</v>
      </c>
      <c r="I12" s="21" t="n">
        <f aca="false">I11/3</f>
        <v>464</v>
      </c>
      <c r="J12" s="19"/>
      <c r="K12" s="21" t="n">
        <f aca="false">K11/3</f>
        <v>411.92</v>
      </c>
    </row>
    <row r="13" customFormat="false" ht="15.75" hidden="false" customHeight="false" outlineLevel="0" collapsed="false">
      <c r="A13" s="12" t="s">
        <v>17</v>
      </c>
      <c r="B13" s="13"/>
      <c r="C13" s="13"/>
      <c r="D13" s="13"/>
      <c r="E13" s="13"/>
      <c r="F13" s="14" t="n">
        <v>1400</v>
      </c>
      <c r="G13" s="14" t="n">
        <v>1344</v>
      </c>
      <c r="H13" s="14" t="n">
        <v>1260</v>
      </c>
      <c r="I13" s="14" t="n">
        <v>1210</v>
      </c>
      <c r="J13" s="15" t="n">
        <f aca="false">-(1-K13/I13)</f>
        <v>-0.1051404959</v>
      </c>
      <c r="K13" s="16" t="n">
        <v>1082.78</v>
      </c>
    </row>
    <row r="14" customFormat="false" ht="15.75" hidden="false" customHeight="false" outlineLevel="0" collapsed="false">
      <c r="A14" s="20" t="s">
        <v>16</v>
      </c>
      <c r="B14" s="13"/>
      <c r="C14" s="13"/>
      <c r="D14" s="13"/>
      <c r="E14" s="13"/>
      <c r="F14" s="21" t="n">
        <f aca="false">F13/3</f>
        <v>466.666666666667</v>
      </c>
      <c r="G14" s="21" t="n">
        <f aca="false">G13/3</f>
        <v>448</v>
      </c>
      <c r="H14" s="21" t="n">
        <f aca="false">H13/3</f>
        <v>420</v>
      </c>
      <c r="I14" s="21" t="n">
        <f aca="false">I13/3</f>
        <v>403.333333333333</v>
      </c>
      <c r="J14" s="19"/>
      <c r="K14" s="21" t="n">
        <f aca="false">K13/3</f>
        <v>360.9266667</v>
      </c>
    </row>
    <row r="15" customFormat="false" ht="15.75" hidden="false" customHeight="false" outlineLevel="0" collapsed="false">
      <c r="A15" s="12" t="s">
        <v>18</v>
      </c>
      <c r="B15" s="13"/>
      <c r="C15" s="13"/>
      <c r="D15" s="13"/>
      <c r="E15" s="13"/>
      <c r="F15" s="14" t="n">
        <v>1175</v>
      </c>
      <c r="G15" s="14" t="n">
        <v>1128</v>
      </c>
      <c r="H15" s="14" t="n">
        <v>1070</v>
      </c>
      <c r="I15" s="14" t="n">
        <v>1027</v>
      </c>
      <c r="J15" s="15" t="n">
        <f aca="false">-(1-K15/I15)</f>
        <v>-0.1075949367</v>
      </c>
      <c r="K15" s="16" t="n">
        <v>916.5</v>
      </c>
    </row>
    <row r="16" customFormat="false" ht="15.75" hidden="false" customHeight="false" outlineLevel="0" collapsed="false">
      <c r="A16" s="20" t="s">
        <v>16</v>
      </c>
      <c r="B16" s="13"/>
      <c r="C16" s="13"/>
      <c r="D16" s="13"/>
      <c r="E16" s="13"/>
      <c r="F16" s="21" t="n">
        <f aca="false">F15/3</f>
        <v>391.666666666667</v>
      </c>
      <c r="G16" s="21" t="n">
        <f aca="false">G15/3</f>
        <v>376</v>
      </c>
      <c r="H16" s="21" t="n">
        <f aca="false">H15/3</f>
        <v>356.666666666667</v>
      </c>
      <c r="I16" s="21" t="n">
        <f aca="false">I15/3</f>
        <v>342.333333333333</v>
      </c>
      <c r="J16" s="19"/>
      <c r="K16" s="21" t="n">
        <f aca="false">K15/3</f>
        <v>305.5</v>
      </c>
    </row>
    <row r="17" customFormat="false" ht="15.75" hidden="false" customHeight="false" outlineLevel="0" collapsed="false">
      <c r="A17" s="12" t="s">
        <v>19</v>
      </c>
      <c r="B17" s="13"/>
      <c r="C17" s="13"/>
      <c r="D17" s="13"/>
      <c r="E17" s="13"/>
      <c r="F17" s="14" t="n">
        <v>960</v>
      </c>
      <c r="G17" s="14" t="n">
        <v>922</v>
      </c>
      <c r="H17" s="14" t="n">
        <v>855</v>
      </c>
      <c r="I17" s="14" t="n">
        <v>821</v>
      </c>
      <c r="J17" s="15" t="n">
        <f aca="false">-(1-K17/I17)</f>
        <v>-0.08619975639</v>
      </c>
      <c r="K17" s="16" t="n">
        <v>750.23</v>
      </c>
    </row>
    <row r="18" customFormat="false" ht="15.75" hidden="false" customHeight="false" outlineLevel="0" collapsed="false">
      <c r="A18" s="20" t="s">
        <v>16</v>
      </c>
      <c r="B18" s="13"/>
      <c r="C18" s="13"/>
      <c r="D18" s="13"/>
      <c r="E18" s="13"/>
      <c r="F18" s="21" t="n">
        <f aca="false">F17/3</f>
        <v>320</v>
      </c>
      <c r="G18" s="21" t="n">
        <f aca="false">G17/3</f>
        <v>307.333333333333</v>
      </c>
      <c r="H18" s="21" t="n">
        <f aca="false">H17/3</f>
        <v>285</v>
      </c>
      <c r="I18" s="21" t="n">
        <f aca="false">I17/3</f>
        <v>273.666666666667</v>
      </c>
      <c r="J18" s="19"/>
      <c r="K18" s="21" t="n">
        <f aca="false">K17/3</f>
        <v>250.0766667</v>
      </c>
    </row>
    <row r="19" customFormat="false" ht="15.75" hidden="false" customHeight="false" outlineLevel="0" collapsed="false">
      <c r="A19" s="12" t="s">
        <v>20</v>
      </c>
      <c r="B19" s="13"/>
      <c r="C19" s="13"/>
      <c r="D19" s="13"/>
      <c r="E19" s="13"/>
      <c r="F19" s="14" t="n">
        <v>550</v>
      </c>
      <c r="G19" s="14" t="n">
        <v>528</v>
      </c>
      <c r="H19" s="14" t="n">
        <v>490</v>
      </c>
      <c r="I19" s="14" t="n">
        <v>470</v>
      </c>
      <c r="J19" s="19"/>
      <c r="K19" s="22"/>
    </row>
    <row r="20" customFormat="false" ht="15.75" hidden="false" customHeight="false" outlineLevel="0" collapsed="false">
      <c r="A20" s="12" t="s">
        <v>21</v>
      </c>
      <c r="B20" s="13"/>
      <c r="C20" s="13"/>
      <c r="D20" s="13"/>
      <c r="E20" s="13"/>
      <c r="F20" s="14" t="n">
        <v>325</v>
      </c>
      <c r="G20" s="14" t="n">
        <v>312</v>
      </c>
      <c r="H20" s="14" t="n">
        <v>290</v>
      </c>
      <c r="I20" s="14" t="n">
        <v>278</v>
      </c>
      <c r="J20" s="19"/>
      <c r="K20" s="22"/>
    </row>
    <row r="21" customFormat="false" ht="15.75" hidden="false" customHeight="false" outlineLevel="0" collapsed="false">
      <c r="A21" s="12" t="s">
        <v>22</v>
      </c>
      <c r="B21" s="13"/>
      <c r="C21" s="13"/>
      <c r="D21" s="13"/>
      <c r="E21" s="13"/>
      <c r="F21" s="14" t="n">
        <v>535</v>
      </c>
      <c r="G21" s="14" t="n">
        <v>514</v>
      </c>
      <c r="H21" s="14" t="n">
        <v>445</v>
      </c>
      <c r="I21" s="14" t="n">
        <v>427</v>
      </c>
      <c r="J21" s="19"/>
      <c r="K21" s="22"/>
    </row>
    <row r="22" customFormat="false" ht="15.75" hidden="false" customHeight="false" outlineLevel="0" collapsed="false">
      <c r="A22" s="12" t="s">
        <v>23</v>
      </c>
      <c r="B22" s="13"/>
      <c r="C22" s="13"/>
      <c r="D22" s="13"/>
      <c r="E22" s="13"/>
      <c r="F22" s="14" t="n">
        <v>305</v>
      </c>
      <c r="G22" s="14" t="n">
        <v>293</v>
      </c>
      <c r="H22" s="14" t="n">
        <v>270</v>
      </c>
      <c r="I22" s="14" t="n">
        <v>259</v>
      </c>
      <c r="J22" s="19"/>
      <c r="K22" s="22"/>
    </row>
    <row r="23" customFormat="false" ht="15.75" hidden="false" customHeight="false" outlineLevel="0" collapsed="false">
      <c r="A23" s="12" t="s">
        <v>24</v>
      </c>
      <c r="B23" s="13"/>
      <c r="C23" s="13"/>
      <c r="D23" s="13"/>
      <c r="E23" s="13"/>
      <c r="F23" s="13"/>
      <c r="G23" s="13"/>
      <c r="H23" s="14" t="n">
        <v>670</v>
      </c>
      <c r="I23" s="14" t="n">
        <v>643</v>
      </c>
      <c r="J23" s="15" t="n">
        <f aca="false">-(1-K23/I23)</f>
        <v>-0.25353032659409</v>
      </c>
      <c r="K23" s="16" t="n">
        <v>479.98</v>
      </c>
    </row>
    <row r="24" customFormat="false" ht="15.75" hidden="false" customHeight="false" outlineLevel="0" collapsed="false">
      <c r="A24" s="12" t="s">
        <v>25</v>
      </c>
      <c r="B24" s="13"/>
      <c r="C24" s="13"/>
      <c r="D24" s="13"/>
      <c r="E24" s="13"/>
      <c r="F24" s="13"/>
      <c r="G24" s="13"/>
      <c r="H24" s="14" t="n">
        <v>710</v>
      </c>
      <c r="I24" s="14" t="n">
        <v>682</v>
      </c>
      <c r="J24" s="15" t="n">
        <f aca="false">-(1-K24/I24)</f>
        <v>-0.298284457478006</v>
      </c>
      <c r="K24" s="16" t="n">
        <v>478.57</v>
      </c>
    </row>
    <row r="25" customFormat="false" ht="15.75" hidden="false" customHeight="false" outlineLevel="0" collapsed="false">
      <c r="A25" s="12" t="s">
        <v>26</v>
      </c>
      <c r="B25" s="13"/>
      <c r="C25" s="13"/>
      <c r="D25" s="13"/>
      <c r="E25" s="13"/>
      <c r="F25" s="13"/>
      <c r="G25" s="13"/>
      <c r="H25" s="14" t="n">
        <v>750</v>
      </c>
      <c r="I25" s="14" t="n">
        <v>720</v>
      </c>
      <c r="J25" s="15" t="n">
        <f aca="false">-(1-K25/I25)</f>
        <v>-0.208333333333333</v>
      </c>
      <c r="K25" s="16" t="n">
        <v>570</v>
      </c>
    </row>
    <row r="26" customFormat="false" ht="15.75" hidden="false" customHeight="false" outlineLevel="0" collapsed="false">
      <c r="A26" s="12" t="s">
        <v>27</v>
      </c>
      <c r="B26" s="13"/>
      <c r="C26" s="13"/>
      <c r="D26" s="13"/>
      <c r="E26" s="13"/>
      <c r="F26" s="13"/>
      <c r="G26" s="13"/>
      <c r="H26" s="14" t="n">
        <v>800</v>
      </c>
      <c r="I26" s="14" t="n">
        <v>768</v>
      </c>
      <c r="J26" s="15" t="n">
        <f aca="false">-(1-K26/I26)</f>
        <v>-0.2578125</v>
      </c>
      <c r="K26" s="16" t="n">
        <v>570</v>
      </c>
    </row>
    <row r="27" customFormat="false" ht="15.75" hidden="false" customHeight="false" outlineLevel="0" collapsed="false">
      <c r="A27" s="12" t="s">
        <v>28</v>
      </c>
      <c r="B27" s="13"/>
      <c r="C27" s="13"/>
      <c r="D27" s="13"/>
      <c r="E27" s="13"/>
      <c r="F27" s="13"/>
      <c r="G27" s="13"/>
      <c r="H27" s="14" t="n">
        <v>850</v>
      </c>
      <c r="I27" s="14" t="n">
        <v>816</v>
      </c>
      <c r="J27" s="15" t="n">
        <f aca="false">-(1-K27/I27)</f>
        <v>-0.301470588235294</v>
      </c>
      <c r="K27" s="16" t="n">
        <v>570</v>
      </c>
    </row>
    <row r="28" customFormat="false" ht="15.75" hidden="false" customHeight="false" outlineLevel="0" collapsed="false">
      <c r="A28" s="12" t="s">
        <v>29</v>
      </c>
      <c r="B28" s="13"/>
      <c r="C28" s="13"/>
      <c r="D28" s="13"/>
      <c r="E28" s="13"/>
      <c r="F28" s="13"/>
      <c r="G28" s="13"/>
      <c r="H28" s="14" t="n">
        <v>985</v>
      </c>
      <c r="I28" s="14" t="n">
        <v>946</v>
      </c>
      <c r="J28" s="15" t="n">
        <f aca="false">-(1-K28/I28)</f>
        <v>-0.2303911205074</v>
      </c>
      <c r="K28" s="16" t="n">
        <v>728.05</v>
      </c>
    </row>
    <row r="29" customFormat="false" ht="15.75" hidden="false" customHeight="false" outlineLevel="0" collapsed="false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customFormat="false" ht="15.75" hidden="false" customHeight="false" outlineLevel="0" collapsed="false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</row>
    <row r="31" customFormat="false" ht="15.75" hidden="false" customHeight="false" outlineLevel="0" collapsed="false">
      <c r="A31" s="6" t="s">
        <v>93</v>
      </c>
      <c r="B31" s="3"/>
      <c r="C31" s="8" t="s">
        <v>94</v>
      </c>
      <c r="D31" s="8"/>
      <c r="E31" s="8"/>
      <c r="F31" s="8"/>
      <c r="G31" s="8"/>
      <c r="H31" s="8"/>
      <c r="I31" s="8"/>
      <c r="J31" s="8"/>
      <c r="K31" s="8"/>
    </row>
    <row r="32" customFormat="false" ht="15.75" hidden="false" customHeight="true" outlineLevel="0" collapsed="false">
      <c r="A32" s="138"/>
      <c r="B32" s="8" t="n">
        <v>2017</v>
      </c>
      <c r="C32" s="8" t="n">
        <v>2018</v>
      </c>
      <c r="D32" s="8" t="n">
        <v>2019</v>
      </c>
      <c r="E32" s="8"/>
      <c r="F32" s="8" t="n">
        <v>2020</v>
      </c>
      <c r="G32" s="8"/>
      <c r="H32" s="8" t="n">
        <v>2021</v>
      </c>
      <c r="I32" s="8"/>
      <c r="J32" s="139" t="s">
        <v>4</v>
      </c>
      <c r="K32" s="8" t="s">
        <v>5</v>
      </c>
    </row>
    <row r="33" customFormat="false" ht="15.75" hidden="false" customHeight="true" outlineLevel="0" collapsed="false">
      <c r="A33" s="3"/>
      <c r="B33" s="3"/>
      <c r="C33" s="3"/>
      <c r="D33" s="8" t="s">
        <v>6</v>
      </c>
      <c r="E33" s="8" t="s">
        <v>7</v>
      </c>
      <c r="F33" s="8" t="s">
        <v>6</v>
      </c>
      <c r="G33" s="8" t="s">
        <v>7</v>
      </c>
      <c r="H33" s="8" t="s">
        <v>6</v>
      </c>
      <c r="I33" s="8" t="s">
        <v>7</v>
      </c>
      <c r="J33" s="139"/>
      <c r="K33" s="3"/>
    </row>
    <row r="34" customFormat="false" ht="15.75" hidden="false" customHeight="false" outlineLevel="0" collapsed="false">
      <c r="A34" s="12" t="s">
        <v>8</v>
      </c>
      <c r="B34" s="13"/>
      <c r="C34" s="14" t="n">
        <v>360</v>
      </c>
      <c r="D34" s="14" t="n">
        <v>305</v>
      </c>
      <c r="E34" s="14" t="n">
        <v>293</v>
      </c>
      <c r="F34" s="14" t="n">
        <v>250</v>
      </c>
      <c r="G34" s="14" t="n">
        <v>240</v>
      </c>
      <c r="H34" s="14" t="n">
        <v>240</v>
      </c>
      <c r="I34" s="14" t="n">
        <v>230</v>
      </c>
      <c r="J34" s="15" t="n">
        <f aca="false">-(1-K34/I34)</f>
        <v>-0.435652173913043</v>
      </c>
      <c r="K34" s="16" t="n">
        <v>129.8</v>
      </c>
    </row>
    <row r="35" customFormat="false" ht="15.75" hidden="false" customHeight="false" outlineLevel="0" collapsed="false">
      <c r="A35" s="12" t="s">
        <v>9</v>
      </c>
      <c r="B35" s="13"/>
      <c r="C35" s="14" t="n">
        <v>395</v>
      </c>
      <c r="D35" s="14" t="n">
        <v>335</v>
      </c>
      <c r="E35" s="14" t="n">
        <v>322</v>
      </c>
      <c r="F35" s="14" t="n">
        <v>265</v>
      </c>
      <c r="G35" s="14" t="n">
        <v>254</v>
      </c>
      <c r="H35" s="14" t="n">
        <v>265</v>
      </c>
      <c r="I35" s="14" t="n">
        <v>254</v>
      </c>
      <c r="J35" s="15" t="n">
        <f aca="false">-(1-K35/I35)</f>
        <v>-0.396062992125984</v>
      </c>
      <c r="K35" s="16" t="n">
        <v>153.4</v>
      </c>
    </row>
    <row r="36" customFormat="false" ht="15.75" hidden="false" customHeight="false" outlineLevel="0" collapsed="false">
      <c r="A36" s="12" t="s">
        <v>10</v>
      </c>
      <c r="B36" s="13"/>
      <c r="C36" s="14" t="n">
        <v>60</v>
      </c>
      <c r="D36" s="14" t="n">
        <v>60</v>
      </c>
      <c r="E36" s="14" t="n">
        <v>58</v>
      </c>
      <c r="F36" s="14" t="n">
        <v>60</v>
      </c>
      <c r="G36" s="14" t="n">
        <v>58</v>
      </c>
      <c r="H36" s="14" t="n">
        <v>60</v>
      </c>
      <c r="I36" s="14" t="n">
        <v>58</v>
      </c>
      <c r="J36" s="15" t="n">
        <f aca="false">-(1-K36/I36)</f>
        <v>-0.568965517241379</v>
      </c>
      <c r="K36" s="14" t="n">
        <v>25</v>
      </c>
    </row>
    <row r="37" customFormat="false" ht="15.75" hidden="false" customHeight="false" outlineLevel="0" collapsed="false">
      <c r="A37" s="12" t="s">
        <v>11</v>
      </c>
      <c r="B37" s="13"/>
      <c r="C37" s="14" t="n">
        <v>450</v>
      </c>
      <c r="D37" s="14" t="n">
        <v>405</v>
      </c>
      <c r="E37" s="14" t="n">
        <v>389</v>
      </c>
      <c r="F37" s="14" t="n">
        <v>365</v>
      </c>
      <c r="G37" s="14" t="n">
        <v>350</v>
      </c>
      <c r="H37" s="14" t="n">
        <v>350</v>
      </c>
      <c r="I37" s="14" t="n">
        <v>336</v>
      </c>
      <c r="J37" s="15" t="n">
        <f aca="false">-(1-K37/I37)</f>
        <v>-0.255952380952381</v>
      </c>
      <c r="K37" s="14" t="n">
        <v>250</v>
      </c>
    </row>
    <row r="38" customFormat="false" ht="15.75" hidden="false" customHeight="false" outlineLevel="0" collapsed="false">
      <c r="A38" s="12" t="s">
        <v>12</v>
      </c>
      <c r="B38" s="13"/>
      <c r="C38" s="14" t="n">
        <v>660</v>
      </c>
      <c r="D38" s="14" t="n">
        <v>620</v>
      </c>
      <c r="E38" s="14" t="n">
        <v>595</v>
      </c>
      <c r="F38" s="14" t="n">
        <v>580</v>
      </c>
      <c r="G38" s="14" t="n">
        <v>557</v>
      </c>
      <c r="H38" s="14" t="n">
        <v>570</v>
      </c>
      <c r="I38" s="14" t="n">
        <v>547</v>
      </c>
      <c r="J38" s="15" t="n">
        <f aca="false">-(1-K38/I38)</f>
        <v>-0.250457038391225</v>
      </c>
      <c r="K38" s="14" t="n">
        <v>410</v>
      </c>
    </row>
    <row r="39" customFormat="false" ht="15.75" hidden="false" customHeight="false" outlineLevel="0" collapsed="false">
      <c r="A39" s="17" t="s">
        <v>13</v>
      </c>
      <c r="B39" s="13"/>
      <c r="C39" s="14" t="n">
        <v>700</v>
      </c>
      <c r="D39" s="14" t="n">
        <v>660</v>
      </c>
      <c r="E39" s="142" t="n">
        <v>660</v>
      </c>
      <c r="F39" s="14" t="n">
        <v>620</v>
      </c>
      <c r="G39" s="142" t="n">
        <v>620</v>
      </c>
      <c r="H39" s="14" t="n">
        <v>610</v>
      </c>
      <c r="I39" s="142" t="n">
        <v>610</v>
      </c>
      <c r="J39" s="19"/>
      <c r="K39" s="13"/>
    </row>
    <row r="40" customFormat="false" ht="15.75" hidden="false" customHeight="false" outlineLevel="0" collapsed="false">
      <c r="A40" s="12" t="s">
        <v>14</v>
      </c>
      <c r="B40" s="13"/>
      <c r="C40" s="13"/>
      <c r="D40" s="14" t="n">
        <v>350</v>
      </c>
      <c r="E40" s="14" t="n">
        <v>336</v>
      </c>
      <c r="F40" s="14" t="n">
        <v>350</v>
      </c>
      <c r="G40" s="14" t="n">
        <v>336</v>
      </c>
      <c r="H40" s="14" t="n">
        <v>350</v>
      </c>
      <c r="I40" s="14" t="n">
        <v>336</v>
      </c>
      <c r="J40" s="15" t="n">
        <f aca="false">-(1-K40/I40)</f>
        <v>-0.255952380952381</v>
      </c>
      <c r="K40" s="14" t="n">
        <v>250</v>
      </c>
    </row>
    <row r="41" customFormat="false" ht="15.75" hidden="false" customHeight="false" outlineLevel="0" collapsed="false">
      <c r="A41" s="12" t="s">
        <v>15</v>
      </c>
      <c r="B41" s="13"/>
      <c r="C41" s="13"/>
      <c r="D41" s="13"/>
      <c r="E41" s="13"/>
      <c r="F41" s="14" t="n">
        <v>1925</v>
      </c>
      <c r="G41" s="14" t="n">
        <v>1848</v>
      </c>
      <c r="H41" s="14" t="n">
        <v>1680</v>
      </c>
      <c r="I41" s="14" t="n">
        <v>1613</v>
      </c>
      <c r="J41" s="15" t="n">
        <f aca="false">-(1-K41/I41)</f>
        <v>-0.233874767513949</v>
      </c>
      <c r="K41" s="16" t="n">
        <v>1235.76</v>
      </c>
    </row>
    <row r="42" customFormat="false" ht="15.75" hidden="false" customHeight="false" outlineLevel="0" collapsed="false">
      <c r="A42" s="20" t="s">
        <v>16</v>
      </c>
      <c r="B42" s="13"/>
      <c r="C42" s="13"/>
      <c r="D42" s="13"/>
      <c r="E42" s="13"/>
      <c r="F42" s="21" t="n">
        <f aca="false">F41/3</f>
        <v>641.666666666667</v>
      </c>
      <c r="G42" s="21" t="n">
        <f aca="false">G41/3</f>
        <v>616</v>
      </c>
      <c r="H42" s="21" t="n">
        <f aca="false">H41/3</f>
        <v>560</v>
      </c>
      <c r="I42" s="21" t="n">
        <f aca="false">I41/3</f>
        <v>537.666666666667</v>
      </c>
      <c r="J42" s="19"/>
      <c r="K42" s="21" t="n">
        <f aca="false">K41/3</f>
        <v>411.92</v>
      </c>
    </row>
    <row r="43" customFormat="false" ht="15.75" hidden="false" customHeight="false" outlineLevel="0" collapsed="false">
      <c r="A43" s="12" t="s">
        <v>17</v>
      </c>
      <c r="B43" s="13"/>
      <c r="C43" s="13"/>
      <c r="D43" s="13"/>
      <c r="E43" s="13"/>
      <c r="F43" s="14" t="n">
        <v>1700</v>
      </c>
      <c r="G43" s="14" t="n">
        <v>1632</v>
      </c>
      <c r="H43" s="14" t="n">
        <v>1500</v>
      </c>
      <c r="I43" s="14" t="n">
        <v>1440</v>
      </c>
      <c r="J43" s="15" t="n">
        <f aca="false">-(1-K43/I43)</f>
        <v>-0.2480694444</v>
      </c>
      <c r="K43" s="16" t="n">
        <v>1082.78</v>
      </c>
    </row>
    <row r="44" customFormat="false" ht="15.75" hidden="false" customHeight="false" outlineLevel="0" collapsed="false">
      <c r="A44" s="20" t="s">
        <v>16</v>
      </c>
      <c r="B44" s="13"/>
      <c r="C44" s="13"/>
      <c r="D44" s="13"/>
      <c r="E44" s="13"/>
      <c r="F44" s="21" t="n">
        <f aca="false">F43/3</f>
        <v>566.666666666667</v>
      </c>
      <c r="G44" s="21" t="n">
        <f aca="false">G43/3</f>
        <v>544</v>
      </c>
      <c r="H44" s="21" t="n">
        <f aca="false">H43/3</f>
        <v>500</v>
      </c>
      <c r="I44" s="21" t="n">
        <f aca="false">I43/3</f>
        <v>480</v>
      </c>
      <c r="J44" s="19"/>
      <c r="K44" s="21" t="n">
        <f aca="false">K43/3</f>
        <v>360.9266667</v>
      </c>
    </row>
    <row r="45" customFormat="false" ht="15.75" hidden="false" customHeight="false" outlineLevel="0" collapsed="false">
      <c r="A45" s="12" t="s">
        <v>18</v>
      </c>
      <c r="B45" s="13"/>
      <c r="C45" s="13"/>
      <c r="D45" s="13"/>
      <c r="E45" s="13"/>
      <c r="F45" s="14" t="n">
        <v>1460</v>
      </c>
      <c r="G45" s="14" t="n">
        <v>1402</v>
      </c>
      <c r="H45" s="14" t="n">
        <v>1295</v>
      </c>
      <c r="I45" s="14" t="n">
        <v>1243</v>
      </c>
      <c r="J45" s="15" t="n">
        <f aca="false">-(1-K45/I45)</f>
        <v>-0.2626709574</v>
      </c>
      <c r="K45" s="16" t="n">
        <v>916.5</v>
      </c>
    </row>
    <row r="46" customFormat="false" ht="15.75" hidden="false" customHeight="false" outlineLevel="0" collapsed="false">
      <c r="A46" s="20" t="s">
        <v>16</v>
      </c>
      <c r="B46" s="13"/>
      <c r="C46" s="13"/>
      <c r="D46" s="13"/>
      <c r="E46" s="13"/>
      <c r="F46" s="21" t="n">
        <f aca="false">F45/3</f>
        <v>486.666666666667</v>
      </c>
      <c r="G46" s="21" t="n">
        <f aca="false">G45/3</f>
        <v>467.333333333333</v>
      </c>
      <c r="H46" s="21" t="n">
        <f aca="false">H45/3</f>
        <v>431.666666666667</v>
      </c>
      <c r="I46" s="21" t="n">
        <f aca="false">I45/3</f>
        <v>414.333333333333</v>
      </c>
      <c r="J46" s="19"/>
      <c r="K46" s="21" t="n">
        <f aca="false">K45/3</f>
        <v>305.5</v>
      </c>
    </row>
    <row r="47" customFormat="false" ht="15.75" hidden="false" customHeight="false" outlineLevel="0" collapsed="false">
      <c r="A47" s="12" t="s">
        <v>19</v>
      </c>
      <c r="B47" s="13"/>
      <c r="C47" s="13"/>
      <c r="D47" s="13"/>
      <c r="E47" s="13"/>
      <c r="F47" s="14" t="n">
        <v>1275</v>
      </c>
      <c r="G47" s="14" t="n">
        <v>1224</v>
      </c>
      <c r="H47" s="14" t="n">
        <v>1060</v>
      </c>
      <c r="I47" s="14" t="n">
        <v>1018</v>
      </c>
      <c r="J47" s="15" t="n">
        <f aca="false">-(1-K47/I47)</f>
        <v>-0.2630353635</v>
      </c>
      <c r="K47" s="16" t="n">
        <v>750.23</v>
      </c>
    </row>
    <row r="48" customFormat="false" ht="15.75" hidden="false" customHeight="false" outlineLevel="0" collapsed="false">
      <c r="A48" s="20" t="s">
        <v>16</v>
      </c>
      <c r="B48" s="13"/>
      <c r="C48" s="13"/>
      <c r="D48" s="13"/>
      <c r="E48" s="13"/>
      <c r="F48" s="21" t="n">
        <f aca="false">F47/3</f>
        <v>425</v>
      </c>
      <c r="G48" s="21" t="n">
        <f aca="false">G47/3</f>
        <v>408</v>
      </c>
      <c r="H48" s="21" t="n">
        <f aca="false">H47/3</f>
        <v>353.333333333333</v>
      </c>
      <c r="I48" s="21" t="n">
        <f aca="false">I47/3</f>
        <v>339.333333333333</v>
      </c>
      <c r="J48" s="19"/>
      <c r="K48" s="21" t="n">
        <f aca="false">K47/3</f>
        <v>250.0766667</v>
      </c>
    </row>
    <row r="49" customFormat="false" ht="15.75" hidden="false" customHeight="false" outlineLevel="0" collapsed="false">
      <c r="A49" s="12" t="s">
        <v>20</v>
      </c>
      <c r="B49" s="13"/>
      <c r="C49" s="13"/>
      <c r="D49" s="13"/>
      <c r="E49" s="13"/>
      <c r="F49" s="14" t="n">
        <v>650</v>
      </c>
      <c r="G49" s="14" t="n">
        <v>624</v>
      </c>
      <c r="H49" s="14" t="n">
        <v>570</v>
      </c>
      <c r="I49" s="14" t="n">
        <v>547</v>
      </c>
      <c r="J49" s="19"/>
      <c r="K49" s="22"/>
    </row>
    <row r="50" customFormat="false" ht="15.75" hidden="false" customHeight="false" outlineLevel="0" collapsed="false">
      <c r="A50" s="12" t="s">
        <v>21</v>
      </c>
      <c r="B50" s="13"/>
      <c r="C50" s="13"/>
      <c r="D50" s="13"/>
      <c r="E50" s="13"/>
      <c r="F50" s="14" t="n">
        <v>435</v>
      </c>
      <c r="G50" s="14" t="n">
        <v>418</v>
      </c>
      <c r="H50" s="14" t="n">
        <v>360</v>
      </c>
      <c r="I50" s="14" t="n">
        <v>346</v>
      </c>
      <c r="J50" s="19"/>
      <c r="K50" s="22"/>
    </row>
    <row r="51" customFormat="false" ht="15.75" hidden="false" customHeight="false" outlineLevel="0" collapsed="false">
      <c r="A51" s="12" t="s">
        <v>22</v>
      </c>
      <c r="B51" s="13"/>
      <c r="C51" s="13"/>
      <c r="D51" s="13"/>
      <c r="E51" s="13"/>
      <c r="F51" s="14" t="n">
        <v>635</v>
      </c>
      <c r="G51" s="14" t="n">
        <v>610</v>
      </c>
      <c r="H51" s="14" t="n">
        <v>500</v>
      </c>
      <c r="I51" s="14" t="n">
        <v>480</v>
      </c>
      <c r="J51" s="19"/>
      <c r="K51" s="22"/>
    </row>
    <row r="52" customFormat="false" ht="15.75" hidden="false" customHeight="false" outlineLevel="0" collapsed="false">
      <c r="A52" s="12" t="s">
        <v>23</v>
      </c>
      <c r="B52" s="13"/>
      <c r="C52" s="13"/>
      <c r="D52" s="13"/>
      <c r="E52" s="13"/>
      <c r="F52" s="14" t="n">
        <v>450</v>
      </c>
      <c r="G52" s="14" t="n">
        <v>432</v>
      </c>
      <c r="H52" s="14" t="n">
        <v>320</v>
      </c>
      <c r="I52" s="14" t="n">
        <v>307</v>
      </c>
      <c r="J52" s="19"/>
      <c r="K52" s="22"/>
    </row>
    <row r="53" customFormat="false" ht="15.75" hidden="false" customHeight="false" outlineLevel="0" collapsed="false">
      <c r="A53" s="12" t="s">
        <v>24</v>
      </c>
      <c r="B53" s="13"/>
      <c r="C53" s="13"/>
      <c r="D53" s="13"/>
      <c r="E53" s="13"/>
      <c r="F53" s="13"/>
      <c r="G53" s="13"/>
      <c r="H53" s="14" t="n">
        <v>760</v>
      </c>
      <c r="I53" s="14" t="n">
        <v>730</v>
      </c>
      <c r="J53" s="15" t="n">
        <f aca="false">-(1-K53/I53)</f>
        <v>-0.342493150684931</v>
      </c>
      <c r="K53" s="16" t="n">
        <v>479.98</v>
      </c>
    </row>
    <row r="54" customFormat="false" ht="15.75" hidden="false" customHeight="false" outlineLevel="0" collapsed="false">
      <c r="A54" s="12" t="s">
        <v>25</v>
      </c>
      <c r="B54" s="13"/>
      <c r="C54" s="13"/>
      <c r="D54" s="13"/>
      <c r="E54" s="13"/>
      <c r="F54" s="13"/>
      <c r="G54" s="13"/>
      <c r="H54" s="14" t="n">
        <v>810</v>
      </c>
      <c r="I54" s="14" t="n">
        <v>778</v>
      </c>
      <c r="J54" s="15" t="n">
        <f aca="false">-(1-K54/I54)</f>
        <v>-0.38487146529563</v>
      </c>
      <c r="K54" s="16" t="n">
        <v>478.57</v>
      </c>
    </row>
    <row r="55" customFormat="false" ht="15.75" hidden="false" customHeight="false" outlineLevel="0" collapsed="false">
      <c r="A55" s="12" t="s">
        <v>26</v>
      </c>
      <c r="B55" s="13"/>
      <c r="C55" s="13"/>
      <c r="D55" s="13"/>
      <c r="E55" s="13"/>
      <c r="F55" s="13"/>
      <c r="G55" s="13"/>
      <c r="H55" s="14" t="n">
        <v>850</v>
      </c>
      <c r="I55" s="14" t="n">
        <v>816</v>
      </c>
      <c r="J55" s="15" t="n">
        <f aca="false">-(1-K55/I55)</f>
        <v>-0.301470588235294</v>
      </c>
      <c r="K55" s="16" t="n">
        <v>570</v>
      </c>
    </row>
    <row r="56" customFormat="false" ht="15.75" hidden="false" customHeight="false" outlineLevel="0" collapsed="false">
      <c r="A56" s="12" t="s">
        <v>27</v>
      </c>
      <c r="B56" s="13"/>
      <c r="C56" s="13"/>
      <c r="D56" s="13"/>
      <c r="E56" s="13"/>
      <c r="F56" s="13"/>
      <c r="G56" s="13"/>
      <c r="H56" s="14" t="n">
        <v>940</v>
      </c>
      <c r="I56" s="14" t="n">
        <v>902</v>
      </c>
      <c r="J56" s="15" t="n">
        <f aca="false">-(1-K56/I56)</f>
        <v>-0.368070953436807</v>
      </c>
      <c r="K56" s="16" t="n">
        <v>570</v>
      </c>
    </row>
    <row r="57" customFormat="false" ht="15.75" hidden="false" customHeight="false" outlineLevel="0" collapsed="false">
      <c r="A57" s="12" t="s">
        <v>28</v>
      </c>
      <c r="B57" s="13"/>
      <c r="C57" s="13"/>
      <c r="D57" s="13"/>
      <c r="E57" s="13"/>
      <c r="F57" s="13"/>
      <c r="G57" s="13"/>
      <c r="H57" s="14" t="n">
        <v>1000</v>
      </c>
      <c r="I57" s="14" t="n">
        <v>960</v>
      </c>
      <c r="J57" s="15" t="n">
        <f aca="false">-(1-K57/I57)</f>
        <v>-0.40625</v>
      </c>
      <c r="K57" s="16" t="n">
        <v>570</v>
      </c>
    </row>
    <row r="58" customFormat="false" ht="15.75" hidden="false" customHeight="false" outlineLevel="0" collapsed="false">
      <c r="A58" s="12" t="s">
        <v>29</v>
      </c>
      <c r="B58" s="13"/>
      <c r="C58" s="13"/>
      <c r="D58" s="13"/>
      <c r="E58" s="13"/>
      <c r="F58" s="13"/>
      <c r="G58" s="13"/>
      <c r="H58" s="14" t="n">
        <v>1270</v>
      </c>
      <c r="I58" s="14" t="n">
        <v>1219</v>
      </c>
      <c r="J58" s="15" t="n">
        <f aca="false">-(1-K58/I58)</f>
        <v>-0.402748154224774</v>
      </c>
      <c r="K58" s="16" t="n">
        <v>728.05</v>
      </c>
    </row>
    <row r="59" customFormat="false" ht="15.75" hidden="false" customHeight="false" outlineLevel="0" collapsed="false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customFormat="false" ht="15.75" hidden="false" customHeight="false" outlineLevel="0" collapsed="false">
      <c r="A60" s="23"/>
      <c r="B60" s="23"/>
      <c r="C60" s="24"/>
      <c r="D60" s="24"/>
      <c r="E60" s="24"/>
      <c r="F60" s="24"/>
      <c r="G60" s="24"/>
      <c r="H60" s="24"/>
      <c r="I60" s="24"/>
      <c r="J60" s="24"/>
      <c r="K60" s="24"/>
    </row>
    <row r="61" customFormat="false" ht="15.75" hidden="false" customHeight="false" outlineLevel="0" collapsed="false">
      <c r="A61" s="6"/>
      <c r="B61" s="3"/>
      <c r="C61" s="8" t="s">
        <v>30</v>
      </c>
      <c r="D61" s="8"/>
      <c r="E61" s="8"/>
      <c r="F61" s="8"/>
      <c r="G61" s="8"/>
      <c r="H61" s="8"/>
      <c r="I61" s="8"/>
      <c r="J61" s="8"/>
      <c r="K61" s="8"/>
    </row>
    <row r="62" customFormat="false" ht="18.75" hidden="false" customHeight="true" outlineLevel="0" collapsed="false">
      <c r="A62" s="138"/>
      <c r="B62" s="8" t="n">
        <v>2017</v>
      </c>
      <c r="C62" s="8" t="n">
        <v>2018</v>
      </c>
      <c r="D62" s="8" t="n">
        <v>2019</v>
      </c>
      <c r="E62" s="8"/>
      <c r="F62" s="8" t="n">
        <v>2020</v>
      </c>
      <c r="G62" s="8"/>
      <c r="H62" s="8" t="n">
        <v>2021</v>
      </c>
      <c r="I62" s="8"/>
      <c r="J62" s="139" t="s">
        <v>4</v>
      </c>
      <c r="K62" s="8" t="s">
        <v>5</v>
      </c>
    </row>
    <row r="63" customFormat="false" ht="18.75" hidden="false" customHeight="true" outlineLevel="0" collapsed="false">
      <c r="A63" s="3"/>
      <c r="B63" s="3"/>
      <c r="C63" s="3"/>
      <c r="D63" s="8" t="s">
        <v>6</v>
      </c>
      <c r="E63" s="8" t="s">
        <v>7</v>
      </c>
      <c r="F63" s="8" t="s">
        <v>6</v>
      </c>
      <c r="G63" s="8" t="s">
        <v>7</v>
      </c>
      <c r="H63" s="8" t="s">
        <v>6</v>
      </c>
      <c r="I63" s="8" t="s">
        <v>7</v>
      </c>
      <c r="J63" s="139"/>
      <c r="K63" s="3"/>
    </row>
    <row r="64" customFormat="false" ht="15.75" hidden="false" customHeight="false" outlineLevel="0" collapsed="false">
      <c r="A64" s="12" t="s">
        <v>31</v>
      </c>
      <c r="B64" s="16" t="n">
        <v>43.38</v>
      </c>
      <c r="C64" s="16" t="n">
        <v>43.38</v>
      </c>
      <c r="D64" s="16" t="n">
        <v>52.06</v>
      </c>
      <c r="E64" s="16" t="n">
        <v>43.38</v>
      </c>
      <c r="F64" s="16" t="n">
        <v>52.06</v>
      </c>
      <c r="G64" s="22" t="s">
        <v>32</v>
      </c>
      <c r="H64" s="16" t="n">
        <v>58.08</v>
      </c>
      <c r="I64" s="22" t="s">
        <v>32</v>
      </c>
      <c r="J64" s="19"/>
      <c r="K64" s="16" t="s">
        <v>95</v>
      </c>
    </row>
    <row r="65" customFormat="false" ht="15.75" hidden="false" customHeight="false" outlineLevel="0" collapsed="false">
      <c r="A65" s="12" t="s">
        <v>33</v>
      </c>
      <c r="B65" s="16" t="n">
        <v>86.76</v>
      </c>
      <c r="C65" s="16" t="n">
        <v>86.76</v>
      </c>
      <c r="D65" s="16" t="n">
        <v>104.13</v>
      </c>
      <c r="E65" s="16" t="n">
        <v>86.76</v>
      </c>
      <c r="F65" s="16" t="n">
        <v>104.13</v>
      </c>
      <c r="G65" s="22" t="s">
        <v>32</v>
      </c>
      <c r="H65" s="16" t="n">
        <v>104.13</v>
      </c>
      <c r="I65" s="22" t="s">
        <v>32</v>
      </c>
      <c r="J65" s="19"/>
      <c r="K65" s="22"/>
    </row>
    <row r="66" customFormat="false" ht="15.75" hidden="false" customHeight="false" outlineLevel="0" collapsed="false">
      <c r="A66" s="12" t="s">
        <v>35</v>
      </c>
      <c r="B66" s="16" t="n">
        <v>130.14</v>
      </c>
      <c r="C66" s="16" t="n">
        <v>130.14</v>
      </c>
      <c r="D66" s="16" t="n">
        <v>149.66</v>
      </c>
      <c r="E66" s="16" t="n">
        <v>130.14</v>
      </c>
      <c r="F66" s="16" t="n">
        <v>149.66</v>
      </c>
      <c r="G66" s="22" t="s">
        <v>32</v>
      </c>
      <c r="H66" s="16" t="n">
        <v>149.66</v>
      </c>
      <c r="I66" s="22" t="s">
        <v>32</v>
      </c>
      <c r="J66" s="19"/>
      <c r="K66" s="16" t="s">
        <v>96</v>
      </c>
    </row>
    <row r="67" customFormat="false" ht="15.75" hidden="false" customHeight="false" outlineLevel="0" collapsed="false">
      <c r="A67" s="12" t="s">
        <v>36</v>
      </c>
      <c r="B67" s="16" t="n">
        <v>173.52</v>
      </c>
      <c r="C67" s="16" t="n">
        <v>173.52</v>
      </c>
      <c r="D67" s="16" t="n">
        <v>199.55</v>
      </c>
      <c r="E67" s="16" t="n">
        <v>173.52</v>
      </c>
      <c r="F67" s="16" t="n">
        <v>199.55</v>
      </c>
      <c r="G67" s="22" t="s">
        <v>32</v>
      </c>
      <c r="H67" s="16" t="n">
        <v>199.55</v>
      </c>
      <c r="I67" s="22" t="s">
        <v>32</v>
      </c>
      <c r="J67" s="19"/>
      <c r="K67" s="22"/>
    </row>
    <row r="68" customFormat="false" ht="15.75" hidden="false" customHeight="false" outlineLevel="0" collapsed="false">
      <c r="A68" s="12" t="s">
        <v>38</v>
      </c>
      <c r="B68" s="16" t="n">
        <v>19.28</v>
      </c>
      <c r="C68" s="16" t="n">
        <v>21.59</v>
      </c>
      <c r="D68" s="16" t="n">
        <v>23.27</v>
      </c>
      <c r="E68" s="16" t="n">
        <v>21.59</v>
      </c>
      <c r="F68" s="16" t="n">
        <v>25.48</v>
      </c>
      <c r="G68" s="22" t="s">
        <v>32</v>
      </c>
      <c r="H68" s="16" t="n">
        <v>26.65</v>
      </c>
      <c r="I68" s="22" t="s">
        <v>32</v>
      </c>
      <c r="J68" s="19"/>
      <c r="K68" s="14" t="s">
        <v>97</v>
      </c>
    </row>
    <row r="69" customFormat="false" ht="15.75" hidden="false" customHeight="false" outlineLevel="0" collapsed="false">
      <c r="A69" s="12" t="s">
        <v>39</v>
      </c>
      <c r="B69" s="16" t="n">
        <v>33.74</v>
      </c>
      <c r="C69" s="16" t="n">
        <v>37.79</v>
      </c>
      <c r="D69" s="16" t="n">
        <v>40.74</v>
      </c>
      <c r="E69" s="16" t="n">
        <v>37.79</v>
      </c>
      <c r="F69" s="16" t="n">
        <v>44.61</v>
      </c>
      <c r="G69" s="22" t="s">
        <v>32</v>
      </c>
      <c r="H69" s="16" t="n">
        <v>46.75</v>
      </c>
      <c r="I69" s="22" t="s">
        <v>32</v>
      </c>
      <c r="J69" s="19"/>
      <c r="K69" s="13"/>
    </row>
    <row r="70" customFormat="false" ht="15.75" hidden="false" customHeight="false" outlineLevel="0" collapsed="false">
      <c r="A70" s="12" t="s">
        <v>41</v>
      </c>
      <c r="B70" s="16" t="n">
        <v>40.97</v>
      </c>
      <c r="C70" s="16" t="n">
        <v>47.93</v>
      </c>
      <c r="D70" s="16" t="n">
        <v>53.68</v>
      </c>
      <c r="E70" s="16" t="n">
        <v>47.93</v>
      </c>
      <c r="F70" s="16" t="n">
        <v>60.66</v>
      </c>
      <c r="G70" s="22" t="s">
        <v>32</v>
      </c>
      <c r="H70" s="16" t="n">
        <v>67.33</v>
      </c>
      <c r="I70" s="22" t="s">
        <v>32</v>
      </c>
      <c r="J70" s="19"/>
      <c r="K70" s="14" t="s">
        <v>98</v>
      </c>
    </row>
    <row r="71" customFormat="false" ht="15.75" hidden="false" customHeight="false" outlineLevel="0" collapsed="false">
      <c r="A71" s="12" t="s">
        <v>42</v>
      </c>
      <c r="B71" s="16" t="n">
        <v>43</v>
      </c>
      <c r="C71" s="16" t="n">
        <v>45.54</v>
      </c>
      <c r="D71" s="16" t="n">
        <v>49.97</v>
      </c>
      <c r="E71" s="16" t="n">
        <v>45.54</v>
      </c>
      <c r="F71" s="16" t="n">
        <v>59.46</v>
      </c>
      <c r="G71" s="22" t="s">
        <v>32</v>
      </c>
      <c r="H71" s="16" t="n">
        <v>65.99</v>
      </c>
      <c r="I71" s="22" t="s">
        <v>32</v>
      </c>
      <c r="J71" s="19"/>
      <c r="K71" s="13"/>
    </row>
    <row r="72" customFormat="false" ht="15.75" hidden="false" customHeight="false" outlineLevel="0" collapsed="false">
      <c r="A72" s="12" t="s">
        <v>44</v>
      </c>
      <c r="B72" s="16" t="n">
        <v>86</v>
      </c>
      <c r="C72" s="16" t="n">
        <v>91.08</v>
      </c>
      <c r="D72" s="16" t="n">
        <v>99.86</v>
      </c>
      <c r="E72" s="16" t="n">
        <v>91.08</v>
      </c>
      <c r="F72" s="16" t="n">
        <v>118.91</v>
      </c>
      <c r="G72" s="22" t="s">
        <v>32</v>
      </c>
      <c r="H72" s="16" t="n">
        <v>131.98</v>
      </c>
      <c r="I72" s="22" t="s">
        <v>32</v>
      </c>
      <c r="J72" s="19"/>
      <c r="K72" s="14" t="s">
        <v>99</v>
      </c>
    </row>
    <row r="73" customFormat="false" ht="15.75" hidden="false" customHeight="false" outlineLevel="0" collapsed="false">
      <c r="A73" s="12" t="s">
        <v>45</v>
      </c>
      <c r="B73" s="16" t="n">
        <v>79.53</v>
      </c>
      <c r="C73" s="16" t="n">
        <v>79.53</v>
      </c>
      <c r="D73" s="16" t="n">
        <v>79.53</v>
      </c>
      <c r="E73" s="16" t="n">
        <v>79.53</v>
      </c>
      <c r="F73" s="16" t="n">
        <v>83.51</v>
      </c>
      <c r="G73" s="22" t="s">
        <v>32</v>
      </c>
      <c r="H73" s="16" t="n">
        <v>86.85</v>
      </c>
      <c r="I73" s="22" t="s">
        <v>32</v>
      </c>
      <c r="J73" s="19"/>
      <c r="K73" s="13"/>
    </row>
    <row r="74" customFormat="false" ht="15.75" hidden="false" customHeight="false" outlineLevel="0" collapsed="false">
      <c r="A74" s="12" t="s">
        <v>47</v>
      </c>
      <c r="B74" s="16" t="n">
        <v>16.72</v>
      </c>
      <c r="C74" s="16" t="n">
        <v>23.07</v>
      </c>
      <c r="D74" s="16" t="n">
        <v>23.07</v>
      </c>
      <c r="E74" s="16" t="n">
        <v>23.07</v>
      </c>
      <c r="F74" s="16" t="n">
        <v>23.07</v>
      </c>
      <c r="G74" s="22" t="s">
        <v>32</v>
      </c>
      <c r="H74" s="16" t="n">
        <v>23.07</v>
      </c>
      <c r="I74" s="22" t="s">
        <v>32</v>
      </c>
      <c r="J74" s="19"/>
      <c r="K74" s="13"/>
    </row>
    <row r="75" customFormat="false" ht="15.75" hidden="false" customHeight="false" outlineLevel="0" collapsed="false">
      <c r="A75" s="12" t="s">
        <v>48</v>
      </c>
      <c r="B75" s="16" t="n">
        <v>25.08</v>
      </c>
      <c r="C75" s="16" t="n">
        <v>34.61</v>
      </c>
      <c r="D75" s="16" t="n">
        <v>34.61</v>
      </c>
      <c r="E75" s="16" t="n">
        <v>34.61</v>
      </c>
      <c r="F75" s="16" t="n">
        <v>34.61</v>
      </c>
      <c r="G75" s="22" t="s">
        <v>32</v>
      </c>
      <c r="H75" s="16" t="n">
        <v>34.61</v>
      </c>
      <c r="I75" s="22" t="s">
        <v>32</v>
      </c>
      <c r="J75" s="19"/>
      <c r="K75" s="13"/>
    </row>
  </sheetData>
  <mergeCells count="15">
    <mergeCell ref="C1:K1"/>
    <mergeCell ref="D2:E2"/>
    <mergeCell ref="F2:G2"/>
    <mergeCell ref="H2:I2"/>
    <mergeCell ref="J2:J3"/>
    <mergeCell ref="C31:K31"/>
    <mergeCell ref="D32:E32"/>
    <mergeCell ref="F32:G32"/>
    <mergeCell ref="H32:I32"/>
    <mergeCell ref="J32:J33"/>
    <mergeCell ref="C61:K61"/>
    <mergeCell ref="D62:E62"/>
    <mergeCell ref="F62:G62"/>
    <mergeCell ref="H62:I62"/>
    <mergeCell ref="J62:J6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574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2017-07-12T20:21:08Z</dcterms:modified>
  <cp:revision>4</cp:revision>
  <dc:subject/>
  <dc:title/>
</cp:coreProperties>
</file>